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155" windowHeight="8505" tabRatio="798" activeTab="1"/>
  </bookViews>
  <sheets>
    <sheet name="Профилиращ лист" sheetId="13" r:id="rId1"/>
    <sheet name="Съотношения" sheetId="16" r:id="rId2"/>
    <sheet name="Възрастова структура" sheetId="18" r:id="rId3"/>
    <sheet name="Лист2" sheetId="17" r:id="rId4"/>
    <sheet name="Български език и руски език" sheetId="5" r:id="rId5"/>
    <sheet name="Български и руски език (ЗО нов)" sheetId="12" r:id="rId6"/>
    <sheet name="Български и английски език" sheetId="1" r:id="rId7"/>
    <sheet name="Български език и новогръцки" sheetId="7" r:id="rId8"/>
    <sheet name="Български език и италиански" sheetId="10" r:id="rId9"/>
    <sheet name="Български език и история" sheetId="2" r:id="rId10"/>
    <sheet name="Български и история (ЗО нов)" sheetId="11" r:id="rId11"/>
    <sheet name="Български и испански език" sheetId="6" r:id="rId12"/>
    <sheet name="Български език и турски език" sheetId="8" r:id="rId13"/>
    <sheet name="Български език и китайски език" sheetId="9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9" hidden="1">'Български език и история'!$A$1:$R$108</definedName>
    <definedName name="_xlnm._FilterDatabase" localSheetId="8" hidden="1">'Български език и италиански'!$A$1:$R$109</definedName>
    <definedName name="_xlnm._FilterDatabase" localSheetId="13" hidden="1">'Български език и китайски език'!$A$1:$R$109</definedName>
    <definedName name="_xlnm._FilterDatabase" localSheetId="7" hidden="1">'Български език и новогръцки'!$A$1:$GG$109</definedName>
    <definedName name="_xlnm._FilterDatabase" localSheetId="4" hidden="1">'Български език и руски език'!$L$1:$L$108</definedName>
    <definedName name="_xlnm._FilterDatabase" localSheetId="12" hidden="1">'Български език и турски език'!$A$1:$GG$109</definedName>
    <definedName name="_xlnm._FilterDatabase" localSheetId="6" hidden="1">'Български и английски език'!$A$1:$R$108</definedName>
    <definedName name="_xlnm._FilterDatabase" localSheetId="11" hidden="1">'Български и испански език'!$A$1:$R$109</definedName>
    <definedName name="_xlnm._FilterDatabase" localSheetId="10" hidden="1">'Български и история (ЗО нов)'!$A$1:$R$117</definedName>
    <definedName name="_xlnm._FilterDatabase" localSheetId="5" hidden="1">'Български и руски език (ЗО нов)'!$A$1:$R$122</definedName>
    <definedName name="_xlnm._FilterDatabase" localSheetId="0" hidden="1">'Профилиращ лист'!$A$1:$B$720</definedName>
    <definedName name="agezona">[1]AgeAssistentOTD!$A$1:$IV$4</definedName>
    <definedName name="BF_ADEQ" localSheetId="10">'[1]Славянска филология (полска)'!#REF!</definedName>
    <definedName name="BF_ADEQ" localSheetId="5">'[1]Славянска филология (полска)'!#REF!</definedName>
    <definedName name="BF_ADEQ" localSheetId="2">'[1]Славянска филология (полска)'!#REF!</definedName>
    <definedName name="BF_ADEQ">'[1]Славянска филология (полска)'!#REF!</definedName>
    <definedName name="fl" localSheetId="10">#REF!</definedName>
    <definedName name="fl" localSheetId="5">#REF!</definedName>
    <definedName name="fl" localSheetId="2">#REF!</definedName>
    <definedName name="fl" localSheetId="0">#REF!</definedName>
    <definedName name="fl">#REF!</definedName>
    <definedName name="godini">[1]AgeLectorOTD!$A$1:$IV$4</definedName>
    <definedName name="PSWInput_0" localSheetId="10" hidden="1">#REF!</definedName>
    <definedName name="PSWInput_0" localSheetId="5" hidden="1">#REF!</definedName>
    <definedName name="PSWInput_0" localSheetId="2" hidden="1">#REF!</definedName>
    <definedName name="PSWInput_0" localSheetId="0" hidden="1">#REF!</definedName>
    <definedName name="PSWInput_0" hidden="1">#REF!</definedName>
    <definedName name="PSWInput_1" localSheetId="10" hidden="1">#REF!</definedName>
    <definedName name="PSWInput_1" localSheetId="5" hidden="1">#REF!</definedName>
    <definedName name="PSWInput_1" localSheetId="2" hidden="1">#REF!</definedName>
    <definedName name="PSWInput_1" localSheetId="0" hidden="1">#REF!</definedName>
    <definedName name="PSWInput_1" hidden="1">#REF!</definedName>
    <definedName name="PSWInput_10" localSheetId="10" hidden="1">#REF!</definedName>
    <definedName name="PSWInput_10" localSheetId="5" hidden="1">#REF!</definedName>
    <definedName name="PSWInput_10" localSheetId="2" hidden="1">#REF!</definedName>
    <definedName name="PSWInput_10" localSheetId="0" hidden="1">#REF!</definedName>
    <definedName name="PSWInput_10" hidden="1">#REF!</definedName>
    <definedName name="PSWInput_100" localSheetId="10" hidden="1">#REF!</definedName>
    <definedName name="PSWInput_100" localSheetId="5" hidden="1">#REF!</definedName>
    <definedName name="PSWInput_100" localSheetId="2" hidden="1">#REF!</definedName>
    <definedName name="PSWInput_100" localSheetId="0" hidden="1">#REF!</definedName>
    <definedName name="PSWInput_100" hidden="1">#REF!</definedName>
    <definedName name="PSWInput_101" localSheetId="10" hidden="1">#REF!</definedName>
    <definedName name="PSWInput_101" localSheetId="5" hidden="1">#REF!</definedName>
    <definedName name="PSWInput_101" localSheetId="2" hidden="1">#REF!</definedName>
    <definedName name="PSWInput_101" localSheetId="0" hidden="1">#REF!</definedName>
    <definedName name="PSWInput_101" hidden="1">#REF!</definedName>
    <definedName name="PSWInput_102" localSheetId="10" hidden="1">#REF!</definedName>
    <definedName name="PSWInput_102" localSheetId="5" hidden="1">#REF!</definedName>
    <definedName name="PSWInput_102" localSheetId="2" hidden="1">#REF!</definedName>
    <definedName name="PSWInput_102" localSheetId="0" hidden="1">#REF!</definedName>
    <definedName name="PSWInput_102" hidden="1">#REF!</definedName>
    <definedName name="PSWInput_103" localSheetId="10" hidden="1">#REF!</definedName>
    <definedName name="PSWInput_103" localSheetId="5" hidden="1">#REF!</definedName>
    <definedName name="PSWInput_103" localSheetId="2" hidden="1">#REF!</definedName>
    <definedName name="PSWInput_103" localSheetId="0" hidden="1">#REF!</definedName>
    <definedName name="PSWInput_103" hidden="1">#REF!</definedName>
    <definedName name="PSWInput_104" localSheetId="10" hidden="1">#REF!</definedName>
    <definedName name="PSWInput_104" localSheetId="5" hidden="1">#REF!</definedName>
    <definedName name="PSWInput_104" localSheetId="2" hidden="1">#REF!</definedName>
    <definedName name="PSWInput_104" localSheetId="0" hidden="1">#REF!</definedName>
    <definedName name="PSWInput_104" hidden="1">#REF!</definedName>
    <definedName name="PSWInput_105" localSheetId="10" hidden="1">#REF!</definedName>
    <definedName name="PSWInput_105" localSheetId="5" hidden="1">#REF!</definedName>
    <definedName name="PSWInput_105" localSheetId="2" hidden="1">#REF!</definedName>
    <definedName name="PSWInput_105" localSheetId="0" hidden="1">#REF!</definedName>
    <definedName name="PSWInput_105" hidden="1">#REF!</definedName>
    <definedName name="PSWInput_106" localSheetId="10" hidden="1">#REF!</definedName>
    <definedName name="PSWInput_106" localSheetId="5" hidden="1">#REF!</definedName>
    <definedName name="PSWInput_106" localSheetId="2" hidden="1">#REF!</definedName>
    <definedName name="PSWInput_106" localSheetId="0" hidden="1">#REF!</definedName>
    <definedName name="PSWInput_106" hidden="1">#REF!</definedName>
    <definedName name="PSWInput_107" localSheetId="10" hidden="1">#REF!</definedName>
    <definedName name="PSWInput_107" localSheetId="5" hidden="1">#REF!</definedName>
    <definedName name="PSWInput_107" localSheetId="2" hidden="1">#REF!</definedName>
    <definedName name="PSWInput_107" localSheetId="0" hidden="1">#REF!</definedName>
    <definedName name="PSWInput_107" hidden="1">#REF!</definedName>
    <definedName name="PSWInput_108" localSheetId="10" hidden="1">#REF!</definedName>
    <definedName name="PSWInput_108" localSheetId="5" hidden="1">#REF!</definedName>
    <definedName name="PSWInput_108" localSheetId="2" hidden="1">#REF!</definedName>
    <definedName name="PSWInput_108" localSheetId="0" hidden="1">#REF!</definedName>
    <definedName name="PSWInput_108" hidden="1">#REF!</definedName>
    <definedName name="PSWInput_109" localSheetId="10" hidden="1">#REF!</definedName>
    <definedName name="PSWInput_109" localSheetId="5" hidden="1">#REF!</definedName>
    <definedName name="PSWInput_109" localSheetId="2" hidden="1">#REF!</definedName>
    <definedName name="PSWInput_109" localSheetId="0" hidden="1">#REF!</definedName>
    <definedName name="PSWInput_109" hidden="1">#REF!</definedName>
    <definedName name="PSWInput_11" localSheetId="10" hidden="1">#REF!</definedName>
    <definedName name="PSWInput_11" localSheetId="5" hidden="1">#REF!</definedName>
    <definedName name="PSWInput_11" localSheetId="2" hidden="1">#REF!</definedName>
    <definedName name="PSWInput_11" localSheetId="0" hidden="1">#REF!</definedName>
    <definedName name="PSWInput_11" hidden="1">#REF!</definedName>
    <definedName name="PSWInput_110" localSheetId="10" hidden="1">#REF!</definedName>
    <definedName name="PSWInput_110" localSheetId="5" hidden="1">#REF!</definedName>
    <definedName name="PSWInput_110" localSheetId="2" hidden="1">#REF!</definedName>
    <definedName name="PSWInput_110" localSheetId="0" hidden="1">#REF!</definedName>
    <definedName name="PSWInput_110" hidden="1">#REF!</definedName>
    <definedName name="PSWInput_111" localSheetId="10" hidden="1">#REF!</definedName>
    <definedName name="PSWInput_111" localSheetId="5" hidden="1">#REF!</definedName>
    <definedName name="PSWInput_111" localSheetId="2" hidden="1">#REF!</definedName>
    <definedName name="PSWInput_111" localSheetId="0" hidden="1">#REF!</definedName>
    <definedName name="PSWInput_111" hidden="1">#REF!</definedName>
    <definedName name="PSWInput_112" localSheetId="10" hidden="1">#REF!</definedName>
    <definedName name="PSWInput_112" localSheetId="5" hidden="1">#REF!</definedName>
    <definedName name="PSWInput_112" localSheetId="2" hidden="1">#REF!</definedName>
    <definedName name="PSWInput_112" localSheetId="0" hidden="1">#REF!</definedName>
    <definedName name="PSWInput_112" hidden="1">#REF!</definedName>
    <definedName name="PSWInput_113" localSheetId="10" hidden="1">#REF!</definedName>
    <definedName name="PSWInput_113" localSheetId="5" hidden="1">#REF!</definedName>
    <definedName name="PSWInput_113" localSheetId="2" hidden="1">#REF!</definedName>
    <definedName name="PSWInput_113" localSheetId="0" hidden="1">#REF!</definedName>
    <definedName name="PSWInput_113" hidden="1">#REF!</definedName>
    <definedName name="PSWInput_114" localSheetId="10" hidden="1">#REF!</definedName>
    <definedName name="PSWInput_114" localSheetId="5" hidden="1">#REF!</definedName>
    <definedName name="PSWInput_114" localSheetId="2" hidden="1">#REF!</definedName>
    <definedName name="PSWInput_114" localSheetId="0" hidden="1">#REF!</definedName>
    <definedName name="PSWInput_114" hidden="1">#REF!</definedName>
    <definedName name="PSWInput_115" localSheetId="10" hidden="1">#REF!</definedName>
    <definedName name="PSWInput_115" localSheetId="5" hidden="1">#REF!</definedName>
    <definedName name="PSWInput_115" localSheetId="2" hidden="1">#REF!</definedName>
    <definedName name="PSWInput_115" localSheetId="0" hidden="1">#REF!</definedName>
    <definedName name="PSWInput_115" hidden="1">#REF!</definedName>
    <definedName name="PSWInput_116" localSheetId="10" hidden="1">#REF!</definedName>
    <definedName name="PSWInput_116" localSheetId="5" hidden="1">#REF!</definedName>
    <definedName name="PSWInput_116" localSheetId="2" hidden="1">#REF!</definedName>
    <definedName name="PSWInput_116" localSheetId="0" hidden="1">#REF!</definedName>
    <definedName name="PSWInput_116" hidden="1">#REF!</definedName>
    <definedName name="PSWInput_117" localSheetId="10" hidden="1">#REF!</definedName>
    <definedName name="PSWInput_117" localSheetId="5" hidden="1">#REF!</definedName>
    <definedName name="PSWInput_117" localSheetId="2" hidden="1">#REF!</definedName>
    <definedName name="PSWInput_117" localSheetId="0" hidden="1">#REF!</definedName>
    <definedName name="PSWInput_117" hidden="1">#REF!</definedName>
    <definedName name="PSWInput_118" localSheetId="10" hidden="1">#REF!</definedName>
    <definedName name="PSWInput_118" localSheetId="5" hidden="1">#REF!</definedName>
    <definedName name="PSWInput_118" localSheetId="2" hidden="1">#REF!</definedName>
    <definedName name="PSWInput_118" localSheetId="0" hidden="1">#REF!</definedName>
    <definedName name="PSWInput_118" hidden="1">#REF!</definedName>
    <definedName name="PSWInput_119" localSheetId="10" hidden="1">#REF!</definedName>
    <definedName name="PSWInput_119" localSheetId="5" hidden="1">#REF!</definedName>
    <definedName name="PSWInput_119" localSheetId="2" hidden="1">#REF!</definedName>
    <definedName name="PSWInput_119" localSheetId="0" hidden="1">#REF!</definedName>
    <definedName name="PSWInput_119" hidden="1">#REF!</definedName>
    <definedName name="PSWInput_12" localSheetId="10" hidden="1">#REF!</definedName>
    <definedName name="PSWInput_12" localSheetId="5" hidden="1">#REF!</definedName>
    <definedName name="PSWInput_12" localSheetId="2" hidden="1">#REF!</definedName>
    <definedName name="PSWInput_12" localSheetId="0" hidden="1">#REF!</definedName>
    <definedName name="PSWInput_12" hidden="1">#REF!</definedName>
    <definedName name="PSWInput_120" localSheetId="10" hidden="1">#REF!</definedName>
    <definedName name="PSWInput_120" localSheetId="5" hidden="1">#REF!</definedName>
    <definedName name="PSWInput_120" localSheetId="2" hidden="1">#REF!</definedName>
    <definedName name="PSWInput_120" localSheetId="0" hidden="1">#REF!</definedName>
    <definedName name="PSWInput_120" hidden="1">#REF!</definedName>
    <definedName name="PSWInput_121" localSheetId="10" hidden="1">#REF!</definedName>
    <definedName name="PSWInput_121" localSheetId="5" hidden="1">#REF!</definedName>
    <definedName name="PSWInput_121" localSheetId="2" hidden="1">#REF!</definedName>
    <definedName name="PSWInput_121" localSheetId="0" hidden="1">#REF!</definedName>
    <definedName name="PSWInput_121" hidden="1">#REF!</definedName>
    <definedName name="PSWInput_122" localSheetId="10" hidden="1">#REF!</definedName>
    <definedName name="PSWInput_122" localSheetId="5" hidden="1">#REF!</definedName>
    <definedName name="PSWInput_122" localSheetId="2" hidden="1">#REF!</definedName>
    <definedName name="PSWInput_122" localSheetId="0" hidden="1">#REF!</definedName>
    <definedName name="PSWInput_122" hidden="1">#REF!</definedName>
    <definedName name="PSWInput_123" localSheetId="10" hidden="1">#REF!</definedName>
    <definedName name="PSWInput_123" localSheetId="5" hidden="1">#REF!</definedName>
    <definedName name="PSWInput_123" localSheetId="2" hidden="1">#REF!</definedName>
    <definedName name="PSWInput_123" localSheetId="0" hidden="1">#REF!</definedName>
    <definedName name="PSWInput_123" hidden="1">#REF!</definedName>
    <definedName name="PSWInput_124" localSheetId="10" hidden="1">#REF!</definedName>
    <definedName name="PSWInput_124" localSheetId="5" hidden="1">#REF!</definedName>
    <definedName name="PSWInput_124" localSheetId="2" hidden="1">#REF!</definedName>
    <definedName name="PSWInput_124" localSheetId="0" hidden="1">#REF!</definedName>
    <definedName name="PSWInput_124" hidden="1">#REF!</definedName>
    <definedName name="PSWInput_125" localSheetId="10" hidden="1">#REF!</definedName>
    <definedName name="PSWInput_125" localSheetId="5" hidden="1">#REF!</definedName>
    <definedName name="PSWInput_125" localSheetId="2" hidden="1">#REF!</definedName>
    <definedName name="PSWInput_125" localSheetId="0" hidden="1">#REF!</definedName>
    <definedName name="PSWInput_125" hidden="1">#REF!</definedName>
    <definedName name="PSWInput_126" localSheetId="10" hidden="1">#REF!</definedName>
    <definedName name="PSWInput_126" localSheetId="5" hidden="1">#REF!</definedName>
    <definedName name="PSWInput_126" localSheetId="2" hidden="1">#REF!</definedName>
    <definedName name="PSWInput_126" localSheetId="0" hidden="1">#REF!</definedName>
    <definedName name="PSWInput_126" hidden="1">#REF!</definedName>
    <definedName name="PSWInput_127" localSheetId="10" hidden="1">#REF!</definedName>
    <definedName name="PSWInput_127" localSheetId="5" hidden="1">#REF!</definedName>
    <definedName name="PSWInput_127" localSheetId="2" hidden="1">#REF!</definedName>
    <definedName name="PSWInput_127" localSheetId="0" hidden="1">#REF!</definedName>
    <definedName name="PSWInput_127" hidden="1">#REF!</definedName>
    <definedName name="PSWInput_128" localSheetId="10" hidden="1">#REF!</definedName>
    <definedName name="PSWInput_128" localSheetId="5" hidden="1">#REF!</definedName>
    <definedName name="PSWInput_128" localSheetId="2" hidden="1">#REF!</definedName>
    <definedName name="PSWInput_128" localSheetId="0" hidden="1">#REF!</definedName>
    <definedName name="PSWInput_128" hidden="1">#REF!</definedName>
    <definedName name="PSWInput_129" localSheetId="10" hidden="1">#REF!</definedName>
    <definedName name="PSWInput_129" localSheetId="5" hidden="1">#REF!</definedName>
    <definedName name="PSWInput_129" localSheetId="2" hidden="1">#REF!</definedName>
    <definedName name="PSWInput_129" localSheetId="0" hidden="1">#REF!</definedName>
    <definedName name="PSWInput_129" hidden="1">#REF!</definedName>
    <definedName name="PSWInput_13" localSheetId="10" hidden="1">#REF!</definedName>
    <definedName name="PSWInput_13" localSheetId="5" hidden="1">#REF!</definedName>
    <definedName name="PSWInput_13" localSheetId="2" hidden="1">#REF!</definedName>
    <definedName name="PSWInput_13" localSheetId="0" hidden="1">#REF!</definedName>
    <definedName name="PSWInput_13" hidden="1">#REF!</definedName>
    <definedName name="PSWInput_130" localSheetId="10" hidden="1">#REF!</definedName>
    <definedName name="PSWInput_130" localSheetId="5" hidden="1">#REF!</definedName>
    <definedName name="PSWInput_130" localSheetId="2" hidden="1">#REF!</definedName>
    <definedName name="PSWInput_130" localSheetId="0" hidden="1">#REF!</definedName>
    <definedName name="PSWInput_130" hidden="1">#REF!</definedName>
    <definedName name="PSWInput_131" localSheetId="10" hidden="1">#REF!</definedName>
    <definedName name="PSWInput_131" localSheetId="5" hidden="1">#REF!</definedName>
    <definedName name="PSWInput_131" localSheetId="2" hidden="1">#REF!</definedName>
    <definedName name="PSWInput_131" localSheetId="0" hidden="1">#REF!</definedName>
    <definedName name="PSWInput_131" hidden="1">#REF!</definedName>
    <definedName name="PSWInput_132" localSheetId="10" hidden="1">#REF!</definedName>
    <definedName name="PSWInput_132" localSheetId="5" hidden="1">#REF!</definedName>
    <definedName name="PSWInput_132" localSheetId="2" hidden="1">#REF!</definedName>
    <definedName name="PSWInput_132" localSheetId="0" hidden="1">#REF!</definedName>
    <definedName name="PSWInput_132" hidden="1">#REF!</definedName>
    <definedName name="PSWInput_133" localSheetId="10" hidden="1">#REF!</definedName>
    <definedName name="PSWInput_133" localSheetId="5" hidden="1">#REF!</definedName>
    <definedName name="PSWInput_133" localSheetId="2" hidden="1">#REF!</definedName>
    <definedName name="PSWInput_133" localSheetId="0" hidden="1">#REF!</definedName>
    <definedName name="PSWInput_133" hidden="1">#REF!</definedName>
    <definedName name="PSWInput_134" localSheetId="10" hidden="1">#REF!</definedName>
    <definedName name="PSWInput_134" localSheetId="5" hidden="1">#REF!</definedName>
    <definedName name="PSWInput_134" localSheetId="2" hidden="1">#REF!</definedName>
    <definedName name="PSWInput_134" localSheetId="0" hidden="1">#REF!</definedName>
    <definedName name="PSWInput_134" hidden="1">#REF!</definedName>
    <definedName name="PSWInput_135" localSheetId="10" hidden="1">#REF!</definedName>
    <definedName name="PSWInput_135" localSheetId="5" hidden="1">#REF!</definedName>
    <definedName name="PSWInput_135" localSheetId="2" hidden="1">#REF!</definedName>
    <definedName name="PSWInput_135" localSheetId="0" hidden="1">#REF!</definedName>
    <definedName name="PSWInput_135" hidden="1">#REF!</definedName>
    <definedName name="PSWInput_136" localSheetId="10" hidden="1">#REF!</definedName>
    <definedName name="PSWInput_136" localSheetId="5" hidden="1">#REF!</definedName>
    <definedName name="PSWInput_136" localSheetId="2" hidden="1">#REF!</definedName>
    <definedName name="PSWInput_136" localSheetId="0" hidden="1">#REF!</definedName>
    <definedName name="PSWInput_136" hidden="1">#REF!</definedName>
    <definedName name="PSWInput_137" localSheetId="10" hidden="1">#REF!</definedName>
    <definedName name="PSWInput_137" localSheetId="5" hidden="1">#REF!</definedName>
    <definedName name="PSWInput_137" localSheetId="2" hidden="1">#REF!</definedName>
    <definedName name="PSWInput_137" localSheetId="0" hidden="1">#REF!</definedName>
    <definedName name="PSWInput_137" hidden="1">#REF!</definedName>
    <definedName name="PSWInput_138" localSheetId="10" hidden="1">#REF!</definedName>
    <definedName name="PSWInput_138" localSheetId="5" hidden="1">#REF!</definedName>
    <definedName name="PSWInput_138" localSheetId="2" hidden="1">#REF!</definedName>
    <definedName name="PSWInput_138" localSheetId="0" hidden="1">#REF!</definedName>
    <definedName name="PSWInput_138" hidden="1">#REF!</definedName>
    <definedName name="PSWInput_139" localSheetId="10" hidden="1">#REF!</definedName>
    <definedName name="PSWInput_139" localSheetId="5" hidden="1">#REF!</definedName>
    <definedName name="PSWInput_139" localSheetId="2" hidden="1">#REF!</definedName>
    <definedName name="PSWInput_139" localSheetId="0" hidden="1">#REF!</definedName>
    <definedName name="PSWInput_139" hidden="1">#REF!</definedName>
    <definedName name="PSWInput_14" localSheetId="10" hidden="1">#REF!</definedName>
    <definedName name="PSWInput_14" localSheetId="5" hidden="1">#REF!</definedName>
    <definedName name="PSWInput_14" localSheetId="2" hidden="1">#REF!</definedName>
    <definedName name="PSWInput_14" localSheetId="0" hidden="1">#REF!</definedName>
    <definedName name="PSWInput_14" hidden="1">#REF!</definedName>
    <definedName name="PSWInput_140" localSheetId="10" hidden="1">#REF!</definedName>
    <definedName name="PSWInput_140" localSheetId="5" hidden="1">#REF!</definedName>
    <definedName name="PSWInput_140" localSheetId="2" hidden="1">#REF!</definedName>
    <definedName name="PSWInput_140" localSheetId="0" hidden="1">#REF!</definedName>
    <definedName name="PSWInput_140" hidden="1">#REF!</definedName>
    <definedName name="PSWInput_141" localSheetId="10" hidden="1">#REF!</definedName>
    <definedName name="PSWInput_141" localSheetId="5" hidden="1">#REF!</definedName>
    <definedName name="PSWInput_141" localSheetId="2" hidden="1">#REF!</definedName>
    <definedName name="PSWInput_141" localSheetId="0" hidden="1">#REF!</definedName>
    <definedName name="PSWInput_141" hidden="1">#REF!</definedName>
    <definedName name="PSWInput_142" localSheetId="10" hidden="1">#REF!</definedName>
    <definedName name="PSWInput_142" localSheetId="5" hidden="1">#REF!</definedName>
    <definedName name="PSWInput_142" localSheetId="2" hidden="1">#REF!</definedName>
    <definedName name="PSWInput_142" localSheetId="0" hidden="1">#REF!</definedName>
    <definedName name="PSWInput_142" hidden="1">#REF!</definedName>
    <definedName name="PSWInput_143" localSheetId="10" hidden="1">#REF!</definedName>
    <definedName name="PSWInput_143" localSheetId="5" hidden="1">#REF!</definedName>
    <definedName name="PSWInput_143" localSheetId="2" hidden="1">#REF!</definedName>
    <definedName name="PSWInput_143" localSheetId="0" hidden="1">#REF!</definedName>
    <definedName name="PSWInput_143" hidden="1">#REF!</definedName>
    <definedName name="PSWInput_144" localSheetId="10" hidden="1">#REF!</definedName>
    <definedName name="PSWInput_144" localSheetId="5" hidden="1">#REF!</definedName>
    <definedName name="PSWInput_144" localSheetId="2" hidden="1">#REF!</definedName>
    <definedName name="PSWInput_144" localSheetId="0" hidden="1">#REF!</definedName>
    <definedName name="PSWInput_144" hidden="1">#REF!</definedName>
    <definedName name="PSWInput_145" localSheetId="10" hidden="1">#REF!</definedName>
    <definedName name="PSWInput_145" localSheetId="5" hidden="1">#REF!</definedName>
    <definedName name="PSWInput_145" localSheetId="2" hidden="1">#REF!</definedName>
    <definedName name="PSWInput_145" localSheetId="0" hidden="1">#REF!</definedName>
    <definedName name="PSWInput_145" hidden="1">#REF!</definedName>
    <definedName name="PSWInput_146" localSheetId="10" hidden="1">#REF!</definedName>
    <definedName name="PSWInput_146" localSheetId="5" hidden="1">#REF!</definedName>
    <definedName name="PSWInput_146" localSheetId="2" hidden="1">#REF!</definedName>
    <definedName name="PSWInput_146" localSheetId="0" hidden="1">#REF!</definedName>
    <definedName name="PSWInput_146" hidden="1">#REF!</definedName>
    <definedName name="PSWInput_147" localSheetId="10" hidden="1">#REF!</definedName>
    <definedName name="PSWInput_147" localSheetId="5" hidden="1">#REF!</definedName>
    <definedName name="PSWInput_147" localSheetId="2" hidden="1">#REF!</definedName>
    <definedName name="PSWInput_147" localSheetId="0" hidden="1">#REF!</definedName>
    <definedName name="PSWInput_147" hidden="1">#REF!</definedName>
    <definedName name="PSWInput_148" localSheetId="10" hidden="1">#REF!</definedName>
    <definedName name="PSWInput_148" localSheetId="5" hidden="1">#REF!</definedName>
    <definedName name="PSWInput_148" localSheetId="2" hidden="1">#REF!</definedName>
    <definedName name="PSWInput_148" localSheetId="0" hidden="1">#REF!</definedName>
    <definedName name="PSWInput_148" hidden="1">#REF!</definedName>
    <definedName name="PSWInput_149" localSheetId="10" hidden="1">#REF!</definedName>
    <definedName name="PSWInput_149" localSheetId="5" hidden="1">#REF!</definedName>
    <definedName name="PSWInput_149" localSheetId="2" hidden="1">#REF!</definedName>
    <definedName name="PSWInput_149" localSheetId="0" hidden="1">#REF!</definedName>
    <definedName name="PSWInput_149" hidden="1">#REF!</definedName>
    <definedName name="PSWInput_15" localSheetId="10" hidden="1">#REF!</definedName>
    <definedName name="PSWInput_15" localSheetId="5" hidden="1">#REF!</definedName>
    <definedName name="PSWInput_15" localSheetId="2" hidden="1">#REF!</definedName>
    <definedName name="PSWInput_15" localSheetId="0" hidden="1">#REF!</definedName>
    <definedName name="PSWInput_15" hidden="1">#REF!</definedName>
    <definedName name="PSWInput_150" localSheetId="10" hidden="1">#REF!</definedName>
    <definedName name="PSWInput_150" localSheetId="5" hidden="1">#REF!</definedName>
    <definedName name="PSWInput_150" localSheetId="2" hidden="1">#REF!</definedName>
    <definedName name="PSWInput_150" localSheetId="0" hidden="1">#REF!</definedName>
    <definedName name="PSWInput_150" hidden="1">#REF!</definedName>
    <definedName name="PSWInput_151" localSheetId="10" hidden="1">#REF!</definedName>
    <definedName name="PSWInput_151" localSheetId="5" hidden="1">#REF!</definedName>
    <definedName name="PSWInput_151" localSheetId="2" hidden="1">#REF!</definedName>
    <definedName name="PSWInput_151" localSheetId="0" hidden="1">#REF!</definedName>
    <definedName name="PSWInput_151" hidden="1">#REF!</definedName>
    <definedName name="PSWInput_152" localSheetId="10" hidden="1">#REF!</definedName>
    <definedName name="PSWInput_152" localSheetId="5" hidden="1">#REF!</definedName>
    <definedName name="PSWInput_152" localSheetId="2" hidden="1">#REF!</definedName>
    <definedName name="PSWInput_152" localSheetId="0" hidden="1">#REF!</definedName>
    <definedName name="PSWInput_152" hidden="1">#REF!</definedName>
    <definedName name="PSWInput_153" localSheetId="10" hidden="1">#REF!</definedName>
    <definedName name="PSWInput_153" localSheetId="5" hidden="1">#REF!</definedName>
    <definedName name="PSWInput_153" localSheetId="2" hidden="1">#REF!</definedName>
    <definedName name="PSWInput_153" localSheetId="0" hidden="1">#REF!</definedName>
    <definedName name="PSWInput_153" hidden="1">#REF!</definedName>
    <definedName name="PSWInput_154" localSheetId="10" hidden="1">#REF!</definedName>
    <definedName name="PSWInput_154" localSheetId="5" hidden="1">#REF!</definedName>
    <definedName name="PSWInput_154" localSheetId="2" hidden="1">#REF!</definedName>
    <definedName name="PSWInput_154" localSheetId="0" hidden="1">#REF!</definedName>
    <definedName name="PSWInput_154" hidden="1">#REF!</definedName>
    <definedName name="PSWInput_155" localSheetId="10" hidden="1">#REF!</definedName>
    <definedName name="PSWInput_155" localSheetId="5" hidden="1">#REF!</definedName>
    <definedName name="PSWInput_155" localSheetId="2" hidden="1">#REF!</definedName>
    <definedName name="PSWInput_155" localSheetId="0" hidden="1">#REF!</definedName>
    <definedName name="PSWInput_155" hidden="1">#REF!</definedName>
    <definedName name="PSWInput_156" localSheetId="10" hidden="1">#REF!</definedName>
    <definedName name="PSWInput_156" localSheetId="5" hidden="1">#REF!</definedName>
    <definedName name="PSWInput_156" localSheetId="2" hidden="1">#REF!</definedName>
    <definedName name="PSWInput_156" localSheetId="0" hidden="1">#REF!</definedName>
    <definedName name="PSWInput_156" hidden="1">#REF!</definedName>
    <definedName name="PSWInput_157" localSheetId="10" hidden="1">#REF!</definedName>
    <definedName name="PSWInput_157" localSheetId="5" hidden="1">#REF!</definedName>
    <definedName name="PSWInput_157" localSheetId="2" hidden="1">#REF!</definedName>
    <definedName name="PSWInput_157" localSheetId="0" hidden="1">#REF!</definedName>
    <definedName name="PSWInput_157" hidden="1">#REF!</definedName>
    <definedName name="PSWInput_158" localSheetId="10" hidden="1">#REF!</definedName>
    <definedName name="PSWInput_158" localSheetId="5" hidden="1">#REF!</definedName>
    <definedName name="PSWInput_158" localSheetId="2" hidden="1">#REF!</definedName>
    <definedName name="PSWInput_158" localSheetId="0" hidden="1">#REF!</definedName>
    <definedName name="PSWInput_158" hidden="1">#REF!</definedName>
    <definedName name="PSWInput_159" localSheetId="10" hidden="1">#REF!</definedName>
    <definedName name="PSWInput_159" localSheetId="5" hidden="1">#REF!</definedName>
    <definedName name="PSWInput_159" localSheetId="2" hidden="1">#REF!</definedName>
    <definedName name="PSWInput_159" localSheetId="0" hidden="1">#REF!</definedName>
    <definedName name="PSWInput_159" hidden="1">#REF!</definedName>
    <definedName name="PSWInput_16" localSheetId="10" hidden="1">#REF!</definedName>
    <definedName name="PSWInput_16" localSheetId="5" hidden="1">#REF!</definedName>
    <definedName name="PSWInput_16" localSheetId="2" hidden="1">#REF!</definedName>
    <definedName name="PSWInput_16" localSheetId="0" hidden="1">#REF!</definedName>
    <definedName name="PSWInput_16" hidden="1">#REF!</definedName>
    <definedName name="PSWInput_160" localSheetId="10" hidden="1">#REF!</definedName>
    <definedName name="PSWInput_160" localSheetId="5" hidden="1">#REF!</definedName>
    <definedName name="PSWInput_160" localSheetId="2" hidden="1">#REF!</definedName>
    <definedName name="PSWInput_160" localSheetId="0" hidden="1">#REF!</definedName>
    <definedName name="PSWInput_160" hidden="1">#REF!</definedName>
    <definedName name="PSWInput_161" localSheetId="10" hidden="1">#REF!</definedName>
    <definedName name="PSWInput_161" localSheetId="5" hidden="1">#REF!</definedName>
    <definedName name="PSWInput_161" localSheetId="2" hidden="1">#REF!</definedName>
    <definedName name="PSWInput_161" localSheetId="0" hidden="1">#REF!</definedName>
    <definedName name="PSWInput_161" hidden="1">#REF!</definedName>
    <definedName name="PSWInput_162" localSheetId="10" hidden="1">#REF!</definedName>
    <definedName name="PSWInput_162" localSheetId="5" hidden="1">#REF!</definedName>
    <definedName name="PSWInput_162" localSheetId="2" hidden="1">#REF!</definedName>
    <definedName name="PSWInput_162" localSheetId="0" hidden="1">#REF!</definedName>
    <definedName name="PSWInput_162" hidden="1">#REF!</definedName>
    <definedName name="PSWInput_163" localSheetId="10" hidden="1">#REF!</definedName>
    <definedName name="PSWInput_163" localSheetId="5" hidden="1">#REF!</definedName>
    <definedName name="PSWInput_163" localSheetId="2" hidden="1">#REF!</definedName>
    <definedName name="PSWInput_163" localSheetId="0" hidden="1">#REF!</definedName>
    <definedName name="PSWInput_163" hidden="1">#REF!</definedName>
    <definedName name="PSWInput_164" localSheetId="10" hidden="1">#REF!</definedName>
    <definedName name="PSWInput_164" localSheetId="5" hidden="1">#REF!</definedName>
    <definedName name="PSWInput_164" localSheetId="2" hidden="1">#REF!</definedName>
    <definedName name="PSWInput_164" localSheetId="0" hidden="1">#REF!</definedName>
    <definedName name="PSWInput_164" hidden="1">#REF!</definedName>
    <definedName name="PSWInput_165" localSheetId="10" hidden="1">#REF!</definedName>
    <definedName name="PSWInput_165" localSheetId="5" hidden="1">#REF!</definedName>
    <definedName name="PSWInput_165" localSheetId="2" hidden="1">#REF!</definedName>
    <definedName name="PSWInput_165" localSheetId="0" hidden="1">#REF!</definedName>
    <definedName name="PSWInput_165" hidden="1">#REF!</definedName>
    <definedName name="PSWInput_166" localSheetId="10" hidden="1">#REF!</definedName>
    <definedName name="PSWInput_166" localSheetId="5" hidden="1">#REF!</definedName>
    <definedName name="PSWInput_166" localSheetId="2" hidden="1">#REF!</definedName>
    <definedName name="PSWInput_166" localSheetId="0" hidden="1">#REF!</definedName>
    <definedName name="PSWInput_166" hidden="1">#REF!</definedName>
    <definedName name="PSWInput_167" localSheetId="10" hidden="1">#REF!</definedName>
    <definedName name="PSWInput_167" localSheetId="5" hidden="1">#REF!</definedName>
    <definedName name="PSWInput_167" localSheetId="2" hidden="1">#REF!</definedName>
    <definedName name="PSWInput_167" localSheetId="0" hidden="1">#REF!</definedName>
    <definedName name="PSWInput_167" hidden="1">#REF!</definedName>
    <definedName name="PSWInput_168" localSheetId="10" hidden="1">#REF!</definedName>
    <definedName name="PSWInput_168" localSheetId="5" hidden="1">#REF!</definedName>
    <definedName name="PSWInput_168" localSheetId="2" hidden="1">#REF!</definedName>
    <definedName name="PSWInput_168" localSheetId="0" hidden="1">#REF!</definedName>
    <definedName name="PSWInput_168" hidden="1">#REF!</definedName>
    <definedName name="PSWInput_169" localSheetId="10" hidden="1">#REF!</definedName>
    <definedName name="PSWInput_169" localSheetId="5" hidden="1">#REF!</definedName>
    <definedName name="PSWInput_169" localSheetId="2" hidden="1">#REF!</definedName>
    <definedName name="PSWInput_169" localSheetId="0" hidden="1">#REF!</definedName>
    <definedName name="PSWInput_169" hidden="1">#REF!</definedName>
    <definedName name="PSWInput_17" localSheetId="10" hidden="1">#REF!</definedName>
    <definedName name="PSWInput_17" localSheetId="5" hidden="1">#REF!</definedName>
    <definedName name="PSWInput_17" localSheetId="2" hidden="1">#REF!</definedName>
    <definedName name="PSWInput_17" localSheetId="0" hidden="1">#REF!</definedName>
    <definedName name="PSWInput_17" hidden="1">#REF!</definedName>
    <definedName name="PSWInput_170" localSheetId="10" hidden="1">#REF!</definedName>
    <definedName name="PSWInput_170" localSheetId="5" hidden="1">#REF!</definedName>
    <definedName name="PSWInput_170" localSheetId="2" hidden="1">#REF!</definedName>
    <definedName name="PSWInput_170" localSheetId="0" hidden="1">#REF!</definedName>
    <definedName name="PSWInput_170" hidden="1">#REF!</definedName>
    <definedName name="PSWInput_171" localSheetId="10" hidden="1">#REF!</definedName>
    <definedName name="PSWInput_171" localSheetId="5" hidden="1">#REF!</definedName>
    <definedName name="PSWInput_171" localSheetId="2" hidden="1">#REF!</definedName>
    <definedName name="PSWInput_171" localSheetId="0" hidden="1">#REF!</definedName>
    <definedName name="PSWInput_171" hidden="1">#REF!</definedName>
    <definedName name="PSWInput_172" localSheetId="10" hidden="1">#REF!</definedName>
    <definedName name="PSWInput_172" localSheetId="5" hidden="1">#REF!</definedName>
    <definedName name="PSWInput_172" localSheetId="2" hidden="1">#REF!</definedName>
    <definedName name="PSWInput_172" localSheetId="0" hidden="1">#REF!</definedName>
    <definedName name="PSWInput_172" hidden="1">#REF!</definedName>
    <definedName name="PSWInput_173" localSheetId="10" hidden="1">#REF!</definedName>
    <definedName name="PSWInput_173" localSheetId="5" hidden="1">#REF!</definedName>
    <definedName name="PSWInput_173" localSheetId="2" hidden="1">#REF!</definedName>
    <definedName name="PSWInput_173" localSheetId="0" hidden="1">#REF!</definedName>
    <definedName name="PSWInput_173" hidden="1">#REF!</definedName>
    <definedName name="PSWInput_174" localSheetId="10" hidden="1">#REF!</definedName>
    <definedName name="PSWInput_174" localSheetId="5" hidden="1">#REF!</definedName>
    <definedName name="PSWInput_174" localSheetId="2" hidden="1">#REF!</definedName>
    <definedName name="PSWInput_174" localSheetId="0" hidden="1">#REF!</definedName>
    <definedName name="PSWInput_174" hidden="1">#REF!</definedName>
    <definedName name="PSWInput_175" localSheetId="10" hidden="1">#REF!</definedName>
    <definedName name="PSWInput_175" localSheetId="5" hidden="1">#REF!</definedName>
    <definedName name="PSWInput_175" localSheetId="2" hidden="1">#REF!</definedName>
    <definedName name="PSWInput_175" localSheetId="0" hidden="1">#REF!</definedName>
    <definedName name="PSWInput_175" hidden="1">#REF!</definedName>
    <definedName name="PSWInput_176" localSheetId="10" hidden="1">#REF!</definedName>
    <definedName name="PSWInput_176" localSheetId="5" hidden="1">#REF!</definedName>
    <definedName name="PSWInput_176" localSheetId="2" hidden="1">#REF!</definedName>
    <definedName name="PSWInput_176" localSheetId="0" hidden="1">#REF!</definedName>
    <definedName name="PSWInput_176" hidden="1">#REF!</definedName>
    <definedName name="PSWInput_177" localSheetId="10" hidden="1">#REF!</definedName>
    <definedName name="PSWInput_177" localSheetId="5" hidden="1">#REF!</definedName>
    <definedName name="PSWInput_177" localSheetId="2" hidden="1">#REF!</definedName>
    <definedName name="PSWInput_177" localSheetId="0" hidden="1">#REF!</definedName>
    <definedName name="PSWInput_177" hidden="1">#REF!</definedName>
    <definedName name="PSWInput_178" localSheetId="10" hidden="1">#REF!</definedName>
    <definedName name="PSWInput_178" localSheetId="5" hidden="1">#REF!</definedName>
    <definedName name="PSWInput_178" localSheetId="2" hidden="1">#REF!</definedName>
    <definedName name="PSWInput_178" localSheetId="0" hidden="1">#REF!</definedName>
    <definedName name="PSWInput_178" hidden="1">#REF!</definedName>
    <definedName name="PSWInput_179" localSheetId="10" hidden="1">#REF!</definedName>
    <definedName name="PSWInput_179" localSheetId="5" hidden="1">#REF!</definedName>
    <definedName name="PSWInput_179" localSheetId="2" hidden="1">#REF!</definedName>
    <definedName name="PSWInput_179" localSheetId="0" hidden="1">#REF!</definedName>
    <definedName name="PSWInput_179" hidden="1">#REF!</definedName>
    <definedName name="PSWInput_18" localSheetId="10" hidden="1">#REF!</definedName>
    <definedName name="PSWInput_18" localSheetId="5" hidden="1">#REF!</definedName>
    <definedName name="PSWInput_18" localSheetId="2" hidden="1">#REF!</definedName>
    <definedName name="PSWInput_18" localSheetId="0" hidden="1">#REF!</definedName>
    <definedName name="PSWInput_18" hidden="1">#REF!</definedName>
    <definedName name="PSWInput_180" localSheetId="10" hidden="1">#REF!</definedName>
    <definedName name="PSWInput_180" localSheetId="5" hidden="1">#REF!</definedName>
    <definedName name="PSWInput_180" localSheetId="2" hidden="1">#REF!</definedName>
    <definedName name="PSWInput_180" localSheetId="0" hidden="1">#REF!</definedName>
    <definedName name="PSWInput_180" hidden="1">#REF!</definedName>
    <definedName name="PSWInput_181" localSheetId="10" hidden="1">#REF!</definedName>
    <definedName name="PSWInput_181" localSheetId="5" hidden="1">#REF!</definedName>
    <definedName name="PSWInput_181" localSheetId="2" hidden="1">#REF!</definedName>
    <definedName name="PSWInput_181" localSheetId="0" hidden="1">#REF!</definedName>
    <definedName name="PSWInput_181" hidden="1">#REF!</definedName>
    <definedName name="PSWInput_182" localSheetId="10" hidden="1">#REF!</definedName>
    <definedName name="PSWInput_182" localSheetId="5" hidden="1">#REF!</definedName>
    <definedName name="PSWInput_182" localSheetId="2" hidden="1">#REF!</definedName>
    <definedName name="PSWInput_182" localSheetId="0" hidden="1">#REF!</definedName>
    <definedName name="PSWInput_182" hidden="1">#REF!</definedName>
    <definedName name="PSWInput_183" localSheetId="10" hidden="1">#REF!</definedName>
    <definedName name="PSWInput_183" localSheetId="5" hidden="1">#REF!</definedName>
    <definedName name="PSWInput_183" localSheetId="2" hidden="1">#REF!</definedName>
    <definedName name="PSWInput_183" localSheetId="0" hidden="1">#REF!</definedName>
    <definedName name="PSWInput_183" hidden="1">#REF!</definedName>
    <definedName name="PSWInput_184" localSheetId="10" hidden="1">#REF!</definedName>
    <definedName name="PSWInput_184" localSheetId="5" hidden="1">#REF!</definedName>
    <definedName name="PSWInput_184" localSheetId="2" hidden="1">#REF!</definedName>
    <definedName name="PSWInput_184" localSheetId="0" hidden="1">#REF!</definedName>
    <definedName name="PSWInput_184" hidden="1">#REF!</definedName>
    <definedName name="PSWInput_185" localSheetId="10" hidden="1">#REF!</definedName>
    <definedName name="PSWInput_185" localSheetId="5" hidden="1">#REF!</definedName>
    <definedName name="PSWInput_185" localSheetId="2" hidden="1">#REF!</definedName>
    <definedName name="PSWInput_185" localSheetId="0" hidden="1">#REF!</definedName>
    <definedName name="PSWInput_185" hidden="1">#REF!</definedName>
    <definedName name="PSWInput_186" localSheetId="10" hidden="1">#REF!</definedName>
    <definedName name="PSWInput_186" localSheetId="5" hidden="1">#REF!</definedName>
    <definedName name="PSWInput_186" localSheetId="2" hidden="1">#REF!</definedName>
    <definedName name="PSWInput_186" localSheetId="0" hidden="1">#REF!</definedName>
    <definedName name="PSWInput_186" hidden="1">#REF!</definedName>
    <definedName name="PSWInput_187" localSheetId="10" hidden="1">#REF!</definedName>
    <definedName name="PSWInput_187" localSheetId="5" hidden="1">#REF!</definedName>
    <definedName name="PSWInput_187" localSheetId="2" hidden="1">#REF!</definedName>
    <definedName name="PSWInput_187" localSheetId="0" hidden="1">#REF!</definedName>
    <definedName name="PSWInput_187" hidden="1">#REF!</definedName>
    <definedName name="PSWInput_188" localSheetId="10" hidden="1">#REF!</definedName>
    <definedName name="PSWInput_188" localSheetId="5" hidden="1">#REF!</definedName>
    <definedName name="PSWInput_188" localSheetId="2" hidden="1">#REF!</definedName>
    <definedName name="PSWInput_188" localSheetId="0" hidden="1">#REF!</definedName>
    <definedName name="PSWInput_188" hidden="1">#REF!</definedName>
    <definedName name="PSWInput_189" localSheetId="10" hidden="1">#REF!</definedName>
    <definedName name="PSWInput_189" localSheetId="5" hidden="1">#REF!</definedName>
    <definedName name="PSWInput_189" localSheetId="2" hidden="1">#REF!</definedName>
    <definedName name="PSWInput_189" localSheetId="0" hidden="1">#REF!</definedName>
    <definedName name="PSWInput_189" hidden="1">#REF!</definedName>
    <definedName name="PSWInput_19" localSheetId="10" hidden="1">#REF!</definedName>
    <definedName name="PSWInput_19" localSheetId="5" hidden="1">#REF!</definedName>
    <definedName name="PSWInput_19" localSheetId="2" hidden="1">#REF!</definedName>
    <definedName name="PSWInput_19" localSheetId="0" hidden="1">#REF!</definedName>
    <definedName name="PSWInput_19" hidden="1">#REF!</definedName>
    <definedName name="PSWInput_190" localSheetId="10" hidden="1">#REF!</definedName>
    <definedName name="PSWInput_190" localSheetId="5" hidden="1">#REF!</definedName>
    <definedName name="PSWInput_190" localSheetId="2" hidden="1">#REF!</definedName>
    <definedName name="PSWInput_190" localSheetId="0" hidden="1">#REF!</definedName>
    <definedName name="PSWInput_190" hidden="1">#REF!</definedName>
    <definedName name="PSWInput_191" localSheetId="10" hidden="1">#REF!</definedName>
    <definedName name="PSWInput_191" localSheetId="5" hidden="1">#REF!</definedName>
    <definedName name="PSWInput_191" localSheetId="2" hidden="1">#REF!</definedName>
    <definedName name="PSWInput_191" localSheetId="0" hidden="1">#REF!</definedName>
    <definedName name="PSWInput_191" hidden="1">#REF!</definedName>
    <definedName name="PSWInput_192" localSheetId="10" hidden="1">#REF!</definedName>
    <definedName name="PSWInput_192" localSheetId="5" hidden="1">#REF!</definedName>
    <definedName name="PSWInput_192" localSheetId="2" hidden="1">#REF!</definedName>
    <definedName name="PSWInput_192" localSheetId="0" hidden="1">#REF!</definedName>
    <definedName name="PSWInput_192" hidden="1">#REF!</definedName>
    <definedName name="PSWInput_193" localSheetId="10" hidden="1">#REF!</definedName>
    <definedName name="PSWInput_193" localSheetId="5" hidden="1">#REF!</definedName>
    <definedName name="PSWInput_193" localSheetId="2" hidden="1">#REF!</definedName>
    <definedName name="PSWInput_193" localSheetId="0" hidden="1">#REF!</definedName>
    <definedName name="PSWInput_193" hidden="1">#REF!</definedName>
    <definedName name="PSWInput_194" localSheetId="10" hidden="1">#REF!</definedName>
    <definedName name="PSWInput_194" localSheetId="5" hidden="1">#REF!</definedName>
    <definedName name="PSWInput_194" localSheetId="2" hidden="1">#REF!</definedName>
    <definedName name="PSWInput_194" localSheetId="0" hidden="1">#REF!</definedName>
    <definedName name="PSWInput_194" hidden="1">#REF!</definedName>
    <definedName name="PSWInput_195" localSheetId="10" hidden="1">#REF!</definedName>
    <definedName name="PSWInput_195" localSheetId="5" hidden="1">#REF!</definedName>
    <definedName name="PSWInput_195" localSheetId="2" hidden="1">#REF!</definedName>
    <definedName name="PSWInput_195" localSheetId="0" hidden="1">#REF!</definedName>
    <definedName name="PSWInput_195" hidden="1">#REF!</definedName>
    <definedName name="PSWInput_196" localSheetId="10" hidden="1">#REF!</definedName>
    <definedName name="PSWInput_196" localSheetId="5" hidden="1">#REF!</definedName>
    <definedName name="PSWInput_196" localSheetId="2" hidden="1">#REF!</definedName>
    <definedName name="PSWInput_196" localSheetId="0" hidden="1">#REF!</definedName>
    <definedName name="PSWInput_196" hidden="1">#REF!</definedName>
    <definedName name="PSWInput_197" localSheetId="10" hidden="1">#REF!</definedName>
    <definedName name="PSWInput_197" localSheetId="5" hidden="1">#REF!</definedName>
    <definedName name="PSWInput_197" localSheetId="2" hidden="1">#REF!</definedName>
    <definedName name="PSWInput_197" localSheetId="0" hidden="1">#REF!</definedName>
    <definedName name="PSWInput_197" hidden="1">#REF!</definedName>
    <definedName name="PSWInput_198" localSheetId="10" hidden="1">#REF!</definedName>
    <definedName name="PSWInput_198" localSheetId="5" hidden="1">#REF!</definedName>
    <definedName name="PSWInput_198" localSheetId="2" hidden="1">#REF!</definedName>
    <definedName name="PSWInput_198" localSheetId="0" hidden="1">#REF!</definedName>
    <definedName name="PSWInput_198" hidden="1">#REF!</definedName>
    <definedName name="PSWInput_199" localSheetId="10" hidden="1">#REF!</definedName>
    <definedName name="PSWInput_199" localSheetId="5" hidden="1">#REF!</definedName>
    <definedName name="PSWInput_199" localSheetId="2" hidden="1">#REF!</definedName>
    <definedName name="PSWInput_199" localSheetId="0" hidden="1">#REF!</definedName>
    <definedName name="PSWInput_199" hidden="1">#REF!</definedName>
    <definedName name="PSWInput_2" localSheetId="10" hidden="1">#REF!</definedName>
    <definedName name="PSWInput_2" localSheetId="5" hidden="1">#REF!</definedName>
    <definedName name="PSWInput_2" localSheetId="2" hidden="1">#REF!</definedName>
    <definedName name="PSWInput_2" localSheetId="0" hidden="1">#REF!</definedName>
    <definedName name="PSWInput_2" hidden="1">#REF!</definedName>
    <definedName name="PSWInput_20" localSheetId="10" hidden="1">#REF!</definedName>
    <definedName name="PSWInput_20" localSheetId="5" hidden="1">#REF!</definedName>
    <definedName name="PSWInput_20" localSheetId="2" hidden="1">#REF!</definedName>
    <definedName name="PSWInput_20" localSheetId="0" hidden="1">#REF!</definedName>
    <definedName name="PSWInput_20" hidden="1">#REF!</definedName>
    <definedName name="PSWInput_200" localSheetId="10" hidden="1">#REF!</definedName>
    <definedName name="PSWInput_200" localSheetId="5" hidden="1">#REF!</definedName>
    <definedName name="PSWInput_200" localSheetId="2" hidden="1">#REF!</definedName>
    <definedName name="PSWInput_200" localSheetId="0" hidden="1">#REF!</definedName>
    <definedName name="PSWInput_200" hidden="1">#REF!</definedName>
    <definedName name="PSWInput_201" localSheetId="10" hidden="1">#REF!</definedName>
    <definedName name="PSWInput_201" localSheetId="5" hidden="1">#REF!</definedName>
    <definedName name="PSWInput_201" localSheetId="2" hidden="1">#REF!</definedName>
    <definedName name="PSWInput_201" localSheetId="0" hidden="1">#REF!</definedName>
    <definedName name="PSWInput_201" hidden="1">#REF!</definedName>
    <definedName name="PSWInput_202" localSheetId="10" hidden="1">#REF!</definedName>
    <definedName name="PSWInput_202" localSheetId="5" hidden="1">#REF!</definedName>
    <definedName name="PSWInput_202" localSheetId="2" hidden="1">#REF!</definedName>
    <definedName name="PSWInput_202" localSheetId="0" hidden="1">#REF!</definedName>
    <definedName name="PSWInput_202" hidden="1">#REF!</definedName>
    <definedName name="PSWInput_203" localSheetId="10" hidden="1">#REF!</definedName>
    <definedName name="PSWInput_203" localSheetId="5" hidden="1">#REF!</definedName>
    <definedName name="PSWInput_203" localSheetId="2" hidden="1">#REF!</definedName>
    <definedName name="PSWInput_203" localSheetId="0" hidden="1">#REF!</definedName>
    <definedName name="PSWInput_203" hidden="1">#REF!</definedName>
    <definedName name="PSWInput_204" localSheetId="10" hidden="1">#REF!</definedName>
    <definedName name="PSWInput_204" localSheetId="5" hidden="1">#REF!</definedName>
    <definedName name="PSWInput_204" localSheetId="2" hidden="1">#REF!</definedName>
    <definedName name="PSWInput_204" localSheetId="0" hidden="1">#REF!</definedName>
    <definedName name="PSWInput_204" hidden="1">#REF!</definedName>
    <definedName name="PSWInput_205" localSheetId="10" hidden="1">#REF!</definedName>
    <definedName name="PSWInput_205" localSheetId="5" hidden="1">#REF!</definedName>
    <definedName name="PSWInput_205" localSheetId="2" hidden="1">#REF!</definedName>
    <definedName name="PSWInput_205" localSheetId="0" hidden="1">#REF!</definedName>
    <definedName name="PSWInput_205" hidden="1">#REF!</definedName>
    <definedName name="PSWInput_206" localSheetId="10" hidden="1">#REF!</definedName>
    <definedName name="PSWInput_206" localSheetId="5" hidden="1">#REF!</definedName>
    <definedName name="PSWInput_206" localSheetId="2" hidden="1">#REF!</definedName>
    <definedName name="PSWInput_206" localSheetId="0" hidden="1">#REF!</definedName>
    <definedName name="PSWInput_206" hidden="1">#REF!</definedName>
    <definedName name="PSWInput_207" localSheetId="10" hidden="1">#REF!</definedName>
    <definedName name="PSWInput_207" localSheetId="5" hidden="1">#REF!</definedName>
    <definedName name="PSWInput_207" localSheetId="2" hidden="1">#REF!</definedName>
    <definedName name="PSWInput_207" localSheetId="0" hidden="1">#REF!</definedName>
    <definedName name="PSWInput_207" hidden="1">#REF!</definedName>
    <definedName name="PSWInput_208" localSheetId="10" hidden="1">#REF!</definedName>
    <definedName name="PSWInput_208" localSheetId="5" hidden="1">#REF!</definedName>
    <definedName name="PSWInput_208" localSheetId="2" hidden="1">#REF!</definedName>
    <definedName name="PSWInput_208" localSheetId="0" hidden="1">#REF!</definedName>
    <definedName name="PSWInput_208" hidden="1">#REF!</definedName>
    <definedName name="PSWInput_209" localSheetId="10" hidden="1">#REF!</definedName>
    <definedName name="PSWInput_209" localSheetId="5" hidden="1">#REF!</definedName>
    <definedName name="PSWInput_209" localSheetId="2" hidden="1">#REF!</definedName>
    <definedName name="PSWInput_209" localSheetId="0" hidden="1">#REF!</definedName>
    <definedName name="PSWInput_209" hidden="1">#REF!</definedName>
    <definedName name="PSWInput_21" localSheetId="10" hidden="1">#REF!</definedName>
    <definedName name="PSWInput_21" localSheetId="5" hidden="1">#REF!</definedName>
    <definedName name="PSWInput_21" localSheetId="2" hidden="1">#REF!</definedName>
    <definedName name="PSWInput_21" localSheetId="0" hidden="1">#REF!</definedName>
    <definedName name="PSWInput_21" hidden="1">#REF!</definedName>
    <definedName name="PSWInput_210" localSheetId="10" hidden="1">#REF!</definedName>
    <definedName name="PSWInput_210" localSheetId="5" hidden="1">#REF!</definedName>
    <definedName name="PSWInput_210" localSheetId="2" hidden="1">#REF!</definedName>
    <definedName name="PSWInput_210" localSheetId="0" hidden="1">#REF!</definedName>
    <definedName name="PSWInput_210" hidden="1">#REF!</definedName>
    <definedName name="PSWInput_211" localSheetId="10" hidden="1">#REF!</definedName>
    <definedName name="PSWInput_211" localSheetId="5" hidden="1">#REF!</definedName>
    <definedName name="PSWInput_211" localSheetId="2" hidden="1">#REF!</definedName>
    <definedName name="PSWInput_211" localSheetId="0" hidden="1">#REF!</definedName>
    <definedName name="PSWInput_211" hidden="1">#REF!</definedName>
    <definedName name="PSWInput_212" localSheetId="10" hidden="1">#REF!</definedName>
    <definedName name="PSWInput_212" localSheetId="5" hidden="1">#REF!</definedName>
    <definedName name="PSWInput_212" localSheetId="2" hidden="1">#REF!</definedName>
    <definedName name="PSWInput_212" localSheetId="0" hidden="1">#REF!</definedName>
    <definedName name="PSWInput_212" hidden="1">#REF!</definedName>
    <definedName name="PSWInput_213" localSheetId="10" hidden="1">#REF!</definedName>
    <definedName name="PSWInput_213" localSheetId="5" hidden="1">#REF!</definedName>
    <definedName name="PSWInput_213" localSheetId="2" hidden="1">#REF!</definedName>
    <definedName name="PSWInput_213" localSheetId="0" hidden="1">#REF!</definedName>
    <definedName name="PSWInput_213" hidden="1">#REF!</definedName>
    <definedName name="PSWInput_214" localSheetId="10" hidden="1">#REF!</definedName>
    <definedName name="PSWInput_214" localSheetId="5" hidden="1">#REF!</definedName>
    <definedName name="PSWInput_214" localSheetId="2" hidden="1">#REF!</definedName>
    <definedName name="PSWInput_214" localSheetId="0" hidden="1">#REF!</definedName>
    <definedName name="PSWInput_214" hidden="1">#REF!</definedName>
    <definedName name="PSWInput_215" localSheetId="10" hidden="1">#REF!</definedName>
    <definedName name="PSWInput_215" localSheetId="5" hidden="1">#REF!</definedName>
    <definedName name="PSWInput_215" localSheetId="2" hidden="1">#REF!</definedName>
    <definedName name="PSWInput_215" localSheetId="0" hidden="1">#REF!</definedName>
    <definedName name="PSWInput_215" hidden="1">#REF!</definedName>
    <definedName name="PSWInput_216" localSheetId="10" hidden="1">#REF!</definedName>
    <definedName name="PSWInput_216" localSheetId="5" hidden="1">#REF!</definedName>
    <definedName name="PSWInput_216" localSheetId="2" hidden="1">#REF!</definedName>
    <definedName name="PSWInput_216" localSheetId="0" hidden="1">#REF!</definedName>
    <definedName name="PSWInput_216" hidden="1">#REF!</definedName>
    <definedName name="PSWInput_217" localSheetId="10" hidden="1">#REF!</definedName>
    <definedName name="PSWInput_217" localSheetId="5" hidden="1">#REF!</definedName>
    <definedName name="PSWInput_217" localSheetId="2" hidden="1">#REF!</definedName>
    <definedName name="PSWInput_217" localSheetId="0" hidden="1">#REF!</definedName>
    <definedName name="PSWInput_217" hidden="1">#REF!</definedName>
    <definedName name="PSWInput_218" localSheetId="10" hidden="1">#REF!</definedName>
    <definedName name="PSWInput_218" localSheetId="5" hidden="1">#REF!</definedName>
    <definedName name="PSWInput_218" localSheetId="2" hidden="1">#REF!</definedName>
    <definedName name="PSWInput_218" localSheetId="0" hidden="1">#REF!</definedName>
    <definedName name="PSWInput_218" hidden="1">#REF!</definedName>
    <definedName name="PSWInput_219" localSheetId="10" hidden="1">#REF!</definedName>
    <definedName name="PSWInput_219" localSheetId="5" hidden="1">#REF!</definedName>
    <definedName name="PSWInput_219" localSheetId="2" hidden="1">#REF!</definedName>
    <definedName name="PSWInput_219" localSheetId="0" hidden="1">#REF!</definedName>
    <definedName name="PSWInput_219" hidden="1">#REF!</definedName>
    <definedName name="PSWInput_22" localSheetId="10" hidden="1">#REF!</definedName>
    <definedName name="PSWInput_22" localSheetId="5" hidden="1">#REF!</definedName>
    <definedName name="PSWInput_22" localSheetId="2" hidden="1">#REF!</definedName>
    <definedName name="PSWInput_22" localSheetId="0" hidden="1">#REF!</definedName>
    <definedName name="PSWInput_22" hidden="1">#REF!</definedName>
    <definedName name="PSWInput_220" localSheetId="10" hidden="1">#REF!</definedName>
    <definedName name="PSWInput_220" localSheetId="5" hidden="1">#REF!</definedName>
    <definedName name="PSWInput_220" localSheetId="2" hidden="1">#REF!</definedName>
    <definedName name="PSWInput_220" localSheetId="0" hidden="1">#REF!</definedName>
    <definedName name="PSWInput_220" hidden="1">#REF!</definedName>
    <definedName name="PSWInput_221" localSheetId="10" hidden="1">#REF!</definedName>
    <definedName name="PSWInput_221" localSheetId="5" hidden="1">#REF!</definedName>
    <definedName name="PSWInput_221" localSheetId="2" hidden="1">#REF!</definedName>
    <definedName name="PSWInput_221" localSheetId="0" hidden="1">#REF!</definedName>
    <definedName name="PSWInput_221" hidden="1">#REF!</definedName>
    <definedName name="PSWInput_222" localSheetId="10" hidden="1">#REF!</definedName>
    <definedName name="PSWInput_222" localSheetId="5" hidden="1">#REF!</definedName>
    <definedName name="PSWInput_222" localSheetId="2" hidden="1">#REF!</definedName>
    <definedName name="PSWInput_222" localSheetId="0" hidden="1">#REF!</definedName>
    <definedName name="PSWInput_222" hidden="1">#REF!</definedName>
    <definedName name="PSWInput_223" localSheetId="10" hidden="1">#REF!</definedName>
    <definedName name="PSWInput_223" localSheetId="5" hidden="1">#REF!</definedName>
    <definedName name="PSWInput_223" localSheetId="2" hidden="1">#REF!</definedName>
    <definedName name="PSWInput_223" localSheetId="0" hidden="1">#REF!</definedName>
    <definedName name="PSWInput_223" hidden="1">#REF!</definedName>
    <definedName name="PSWInput_224" localSheetId="10" hidden="1">#REF!</definedName>
    <definedName name="PSWInput_224" localSheetId="5" hidden="1">#REF!</definedName>
    <definedName name="PSWInput_224" localSheetId="2" hidden="1">#REF!</definedName>
    <definedName name="PSWInput_224" localSheetId="0" hidden="1">#REF!</definedName>
    <definedName name="PSWInput_224" hidden="1">#REF!</definedName>
    <definedName name="PSWInput_225" localSheetId="10" hidden="1">#REF!</definedName>
    <definedName name="PSWInput_225" localSheetId="5" hidden="1">#REF!</definedName>
    <definedName name="PSWInput_225" localSheetId="2" hidden="1">#REF!</definedName>
    <definedName name="PSWInput_225" localSheetId="0" hidden="1">#REF!</definedName>
    <definedName name="PSWInput_225" hidden="1">#REF!</definedName>
    <definedName name="PSWInput_226" localSheetId="10" hidden="1">#REF!</definedName>
    <definedName name="PSWInput_226" localSheetId="5" hidden="1">#REF!</definedName>
    <definedName name="PSWInput_226" localSheetId="2" hidden="1">#REF!</definedName>
    <definedName name="PSWInput_226" localSheetId="0" hidden="1">#REF!</definedName>
    <definedName name="PSWInput_226" hidden="1">#REF!</definedName>
    <definedName name="PSWInput_227" localSheetId="10" hidden="1">#REF!</definedName>
    <definedName name="PSWInput_227" localSheetId="5" hidden="1">#REF!</definedName>
    <definedName name="PSWInput_227" localSheetId="2" hidden="1">#REF!</definedName>
    <definedName name="PSWInput_227" localSheetId="0" hidden="1">#REF!</definedName>
    <definedName name="PSWInput_227" hidden="1">#REF!</definedName>
    <definedName name="PSWInput_228" localSheetId="10" hidden="1">#REF!</definedName>
    <definedName name="PSWInput_228" localSheetId="5" hidden="1">#REF!</definedName>
    <definedName name="PSWInput_228" localSheetId="2" hidden="1">#REF!</definedName>
    <definedName name="PSWInput_228" localSheetId="0" hidden="1">#REF!</definedName>
    <definedName name="PSWInput_228" hidden="1">#REF!</definedName>
    <definedName name="PSWInput_229" localSheetId="10" hidden="1">#REF!</definedName>
    <definedName name="PSWInput_229" localSheetId="5" hidden="1">#REF!</definedName>
    <definedName name="PSWInput_229" localSheetId="2" hidden="1">#REF!</definedName>
    <definedName name="PSWInput_229" localSheetId="0" hidden="1">#REF!</definedName>
    <definedName name="PSWInput_229" hidden="1">#REF!</definedName>
    <definedName name="PSWInput_23" localSheetId="10" hidden="1">#REF!</definedName>
    <definedName name="PSWInput_23" localSheetId="5" hidden="1">#REF!</definedName>
    <definedName name="PSWInput_23" localSheetId="2" hidden="1">#REF!</definedName>
    <definedName name="PSWInput_23" localSheetId="0" hidden="1">#REF!</definedName>
    <definedName name="PSWInput_23" hidden="1">#REF!</definedName>
    <definedName name="PSWInput_230" localSheetId="10" hidden="1">#REF!</definedName>
    <definedName name="PSWInput_230" localSheetId="5" hidden="1">#REF!</definedName>
    <definedName name="PSWInput_230" localSheetId="2" hidden="1">#REF!</definedName>
    <definedName name="PSWInput_230" localSheetId="0" hidden="1">#REF!</definedName>
    <definedName name="PSWInput_230" hidden="1">#REF!</definedName>
    <definedName name="PSWInput_231" localSheetId="10" hidden="1">#REF!</definedName>
    <definedName name="PSWInput_231" localSheetId="5" hidden="1">#REF!</definedName>
    <definedName name="PSWInput_231" localSheetId="2" hidden="1">#REF!</definedName>
    <definedName name="PSWInput_231" localSheetId="0" hidden="1">#REF!</definedName>
    <definedName name="PSWInput_231" hidden="1">#REF!</definedName>
    <definedName name="PSWInput_232" localSheetId="10" hidden="1">#REF!</definedName>
    <definedName name="PSWInput_232" localSheetId="5" hidden="1">#REF!</definedName>
    <definedName name="PSWInput_232" localSheetId="2" hidden="1">#REF!</definedName>
    <definedName name="PSWInput_232" localSheetId="0" hidden="1">#REF!</definedName>
    <definedName name="PSWInput_232" hidden="1">#REF!</definedName>
    <definedName name="PSWInput_233" localSheetId="10" hidden="1">#REF!</definedName>
    <definedName name="PSWInput_233" localSheetId="5" hidden="1">#REF!</definedName>
    <definedName name="PSWInput_233" localSheetId="2" hidden="1">#REF!</definedName>
    <definedName name="PSWInput_233" localSheetId="0" hidden="1">#REF!</definedName>
    <definedName name="PSWInput_233" hidden="1">#REF!</definedName>
    <definedName name="PSWInput_234" localSheetId="10" hidden="1">#REF!</definedName>
    <definedName name="PSWInput_234" localSheetId="5" hidden="1">#REF!</definedName>
    <definedName name="PSWInput_234" localSheetId="2" hidden="1">#REF!</definedName>
    <definedName name="PSWInput_234" localSheetId="0" hidden="1">#REF!</definedName>
    <definedName name="PSWInput_234" hidden="1">#REF!</definedName>
    <definedName name="PSWInput_235" localSheetId="10" hidden="1">#REF!</definedName>
    <definedName name="PSWInput_235" localSheetId="5" hidden="1">#REF!</definedName>
    <definedName name="PSWInput_235" localSheetId="2" hidden="1">#REF!</definedName>
    <definedName name="PSWInput_235" localSheetId="0" hidden="1">#REF!</definedName>
    <definedName name="PSWInput_235" hidden="1">#REF!</definedName>
    <definedName name="PSWInput_236" localSheetId="10" hidden="1">#REF!</definedName>
    <definedName name="PSWInput_236" localSheetId="5" hidden="1">#REF!</definedName>
    <definedName name="PSWInput_236" localSheetId="2" hidden="1">#REF!</definedName>
    <definedName name="PSWInput_236" localSheetId="0" hidden="1">#REF!</definedName>
    <definedName name="PSWInput_236" hidden="1">#REF!</definedName>
    <definedName name="PSWInput_237" localSheetId="10" hidden="1">#REF!</definedName>
    <definedName name="PSWInput_237" localSheetId="5" hidden="1">#REF!</definedName>
    <definedName name="PSWInput_237" localSheetId="2" hidden="1">#REF!</definedName>
    <definedName name="PSWInput_237" localSheetId="0" hidden="1">#REF!</definedName>
    <definedName name="PSWInput_237" hidden="1">#REF!</definedName>
    <definedName name="PSWInput_238" localSheetId="10" hidden="1">#REF!</definedName>
    <definedName name="PSWInput_238" localSheetId="5" hidden="1">#REF!</definedName>
    <definedName name="PSWInput_238" localSheetId="2" hidden="1">#REF!</definedName>
    <definedName name="PSWInput_238" localSheetId="0" hidden="1">#REF!</definedName>
    <definedName name="PSWInput_238" hidden="1">#REF!</definedName>
    <definedName name="PSWInput_239" localSheetId="10" hidden="1">#REF!</definedName>
    <definedName name="PSWInput_239" localSheetId="5" hidden="1">#REF!</definedName>
    <definedName name="PSWInput_239" localSheetId="2" hidden="1">#REF!</definedName>
    <definedName name="PSWInput_239" localSheetId="0" hidden="1">#REF!</definedName>
    <definedName name="PSWInput_239" hidden="1">#REF!</definedName>
    <definedName name="PSWInput_24" localSheetId="10" hidden="1">#REF!</definedName>
    <definedName name="PSWInput_24" localSheetId="5" hidden="1">#REF!</definedName>
    <definedName name="PSWInput_24" localSheetId="2" hidden="1">#REF!</definedName>
    <definedName name="PSWInput_24" localSheetId="0" hidden="1">#REF!</definedName>
    <definedName name="PSWInput_24" hidden="1">#REF!</definedName>
    <definedName name="PSWInput_240" localSheetId="10" hidden="1">#REF!</definedName>
    <definedName name="PSWInput_240" localSheetId="5" hidden="1">#REF!</definedName>
    <definedName name="PSWInput_240" localSheetId="2" hidden="1">#REF!</definedName>
    <definedName name="PSWInput_240" localSheetId="0" hidden="1">#REF!</definedName>
    <definedName name="PSWInput_240" hidden="1">#REF!</definedName>
    <definedName name="PSWInput_241" localSheetId="10" hidden="1">#REF!</definedName>
    <definedName name="PSWInput_241" localSheetId="5" hidden="1">#REF!</definedName>
    <definedName name="PSWInput_241" localSheetId="2" hidden="1">#REF!</definedName>
    <definedName name="PSWInput_241" localSheetId="0" hidden="1">#REF!</definedName>
    <definedName name="PSWInput_241" hidden="1">#REF!</definedName>
    <definedName name="PSWInput_242" localSheetId="10" hidden="1">#REF!</definedName>
    <definedName name="PSWInput_242" localSheetId="5" hidden="1">#REF!</definedName>
    <definedName name="PSWInput_242" localSheetId="2" hidden="1">#REF!</definedName>
    <definedName name="PSWInput_242" localSheetId="0" hidden="1">#REF!</definedName>
    <definedName name="PSWInput_242" hidden="1">#REF!</definedName>
    <definedName name="PSWInput_243" localSheetId="10" hidden="1">#REF!</definedName>
    <definedName name="PSWInput_243" localSheetId="5" hidden="1">#REF!</definedName>
    <definedName name="PSWInput_243" localSheetId="2" hidden="1">#REF!</definedName>
    <definedName name="PSWInput_243" localSheetId="0" hidden="1">#REF!</definedName>
    <definedName name="PSWInput_243" hidden="1">#REF!</definedName>
    <definedName name="PSWInput_244" localSheetId="10" hidden="1">#REF!</definedName>
    <definedName name="PSWInput_244" localSheetId="5" hidden="1">#REF!</definedName>
    <definedName name="PSWInput_244" localSheetId="2" hidden="1">#REF!</definedName>
    <definedName name="PSWInput_244" localSheetId="0" hidden="1">#REF!</definedName>
    <definedName name="PSWInput_244" hidden="1">#REF!</definedName>
    <definedName name="PSWInput_245" localSheetId="10" hidden="1">#REF!</definedName>
    <definedName name="PSWInput_245" localSheetId="5" hidden="1">#REF!</definedName>
    <definedName name="PSWInput_245" localSheetId="2" hidden="1">#REF!</definedName>
    <definedName name="PSWInput_245" localSheetId="0" hidden="1">#REF!</definedName>
    <definedName name="PSWInput_245" hidden="1">#REF!</definedName>
    <definedName name="PSWInput_246" localSheetId="10" hidden="1">#REF!</definedName>
    <definedName name="PSWInput_246" localSheetId="5" hidden="1">#REF!</definedName>
    <definedName name="PSWInput_246" localSheetId="2" hidden="1">#REF!</definedName>
    <definedName name="PSWInput_246" localSheetId="0" hidden="1">#REF!</definedName>
    <definedName name="PSWInput_246" hidden="1">#REF!</definedName>
    <definedName name="PSWInput_247" localSheetId="10" hidden="1">#REF!</definedName>
    <definedName name="PSWInput_247" localSheetId="5" hidden="1">#REF!</definedName>
    <definedName name="PSWInput_247" localSheetId="2" hidden="1">#REF!</definedName>
    <definedName name="PSWInput_247" localSheetId="0" hidden="1">#REF!</definedName>
    <definedName name="PSWInput_247" hidden="1">#REF!</definedName>
    <definedName name="PSWInput_248" localSheetId="10" hidden="1">#REF!</definedName>
    <definedName name="PSWInput_248" localSheetId="5" hidden="1">#REF!</definedName>
    <definedName name="PSWInput_248" localSheetId="2" hidden="1">#REF!</definedName>
    <definedName name="PSWInput_248" localSheetId="0" hidden="1">#REF!</definedName>
    <definedName name="PSWInput_248" hidden="1">#REF!</definedName>
    <definedName name="PSWInput_249" localSheetId="10" hidden="1">#REF!</definedName>
    <definedName name="PSWInput_249" localSheetId="5" hidden="1">#REF!</definedName>
    <definedName name="PSWInput_249" localSheetId="2" hidden="1">#REF!</definedName>
    <definedName name="PSWInput_249" localSheetId="0" hidden="1">#REF!</definedName>
    <definedName name="PSWInput_249" hidden="1">#REF!</definedName>
    <definedName name="PSWInput_25" localSheetId="10" hidden="1">#REF!</definedName>
    <definedName name="PSWInput_25" localSheetId="5" hidden="1">#REF!</definedName>
    <definedName name="PSWInput_25" localSheetId="2" hidden="1">#REF!</definedName>
    <definedName name="PSWInput_25" localSheetId="0" hidden="1">#REF!</definedName>
    <definedName name="PSWInput_25" hidden="1">#REF!</definedName>
    <definedName name="PSWInput_250" localSheetId="10" hidden="1">#REF!</definedName>
    <definedName name="PSWInput_250" localSheetId="5" hidden="1">#REF!</definedName>
    <definedName name="PSWInput_250" localSheetId="2" hidden="1">#REF!</definedName>
    <definedName name="PSWInput_250" localSheetId="0" hidden="1">#REF!</definedName>
    <definedName name="PSWInput_250" hidden="1">#REF!</definedName>
    <definedName name="PSWInput_251" localSheetId="10" hidden="1">#REF!</definedName>
    <definedName name="PSWInput_251" localSheetId="5" hidden="1">#REF!</definedName>
    <definedName name="PSWInput_251" localSheetId="2" hidden="1">#REF!</definedName>
    <definedName name="PSWInput_251" localSheetId="0" hidden="1">#REF!</definedName>
    <definedName name="PSWInput_251" hidden="1">#REF!</definedName>
    <definedName name="PSWInput_252" localSheetId="10" hidden="1">#REF!</definedName>
    <definedName name="PSWInput_252" localSheetId="5" hidden="1">#REF!</definedName>
    <definedName name="PSWInput_252" localSheetId="2" hidden="1">#REF!</definedName>
    <definedName name="PSWInput_252" localSheetId="0" hidden="1">#REF!</definedName>
    <definedName name="PSWInput_252" hidden="1">#REF!</definedName>
    <definedName name="PSWInput_253" localSheetId="10" hidden="1">#REF!</definedName>
    <definedName name="PSWInput_253" localSheetId="5" hidden="1">#REF!</definedName>
    <definedName name="PSWInput_253" localSheetId="2" hidden="1">#REF!</definedName>
    <definedName name="PSWInput_253" localSheetId="0" hidden="1">#REF!</definedName>
    <definedName name="PSWInput_253" hidden="1">#REF!</definedName>
    <definedName name="PSWInput_254" localSheetId="10" hidden="1">#REF!</definedName>
    <definedName name="PSWInput_254" localSheetId="5" hidden="1">#REF!</definedName>
    <definedName name="PSWInput_254" localSheetId="2" hidden="1">#REF!</definedName>
    <definedName name="PSWInput_254" localSheetId="0" hidden="1">#REF!</definedName>
    <definedName name="PSWInput_254" hidden="1">#REF!</definedName>
    <definedName name="PSWInput_255" localSheetId="10" hidden="1">#REF!</definedName>
    <definedName name="PSWInput_255" localSheetId="5" hidden="1">#REF!</definedName>
    <definedName name="PSWInput_255" localSheetId="2" hidden="1">#REF!</definedName>
    <definedName name="PSWInput_255" localSheetId="0" hidden="1">#REF!</definedName>
    <definedName name="PSWInput_255" hidden="1">#REF!</definedName>
    <definedName name="PSWInput_256" localSheetId="10" hidden="1">#REF!</definedName>
    <definedName name="PSWInput_256" localSheetId="5" hidden="1">#REF!</definedName>
    <definedName name="PSWInput_256" localSheetId="2" hidden="1">#REF!</definedName>
    <definedName name="PSWInput_256" localSheetId="0" hidden="1">#REF!</definedName>
    <definedName name="PSWInput_256" hidden="1">#REF!</definedName>
    <definedName name="PSWInput_257" localSheetId="10" hidden="1">#REF!</definedName>
    <definedName name="PSWInput_257" localSheetId="5" hidden="1">#REF!</definedName>
    <definedName name="PSWInput_257" localSheetId="2" hidden="1">#REF!</definedName>
    <definedName name="PSWInput_257" localSheetId="0" hidden="1">#REF!</definedName>
    <definedName name="PSWInput_257" hidden="1">#REF!</definedName>
    <definedName name="PSWInput_258" localSheetId="10" hidden="1">#REF!</definedName>
    <definedName name="PSWInput_258" localSheetId="5" hidden="1">#REF!</definedName>
    <definedName name="PSWInput_258" localSheetId="2" hidden="1">#REF!</definedName>
    <definedName name="PSWInput_258" localSheetId="0" hidden="1">#REF!</definedName>
    <definedName name="PSWInput_258" hidden="1">#REF!</definedName>
    <definedName name="PSWInput_259" localSheetId="10" hidden="1">#REF!</definedName>
    <definedName name="PSWInput_259" localSheetId="5" hidden="1">#REF!</definedName>
    <definedName name="PSWInput_259" localSheetId="2" hidden="1">#REF!</definedName>
    <definedName name="PSWInput_259" localSheetId="0" hidden="1">#REF!</definedName>
    <definedName name="PSWInput_259" hidden="1">#REF!</definedName>
    <definedName name="PSWInput_26" localSheetId="10" hidden="1">#REF!</definedName>
    <definedName name="PSWInput_26" localSheetId="5" hidden="1">#REF!</definedName>
    <definedName name="PSWInput_26" localSheetId="2" hidden="1">#REF!</definedName>
    <definedName name="PSWInput_26" localSheetId="0" hidden="1">#REF!</definedName>
    <definedName name="PSWInput_26" hidden="1">#REF!</definedName>
    <definedName name="PSWInput_260" localSheetId="10" hidden="1">#REF!</definedName>
    <definedName name="PSWInput_260" localSheetId="5" hidden="1">#REF!</definedName>
    <definedName name="PSWInput_260" localSheetId="2" hidden="1">#REF!</definedName>
    <definedName name="PSWInput_260" localSheetId="0" hidden="1">#REF!</definedName>
    <definedName name="PSWInput_260" hidden="1">#REF!</definedName>
    <definedName name="PSWInput_261" localSheetId="10" hidden="1">#REF!</definedName>
    <definedName name="PSWInput_261" localSheetId="5" hidden="1">#REF!</definedName>
    <definedName name="PSWInput_261" localSheetId="2" hidden="1">#REF!</definedName>
    <definedName name="PSWInput_261" localSheetId="0" hidden="1">#REF!</definedName>
    <definedName name="PSWInput_261" hidden="1">#REF!</definedName>
    <definedName name="PSWInput_262" localSheetId="10" hidden="1">#REF!</definedName>
    <definedName name="PSWInput_262" localSheetId="5" hidden="1">#REF!</definedName>
    <definedName name="PSWInput_262" localSheetId="2" hidden="1">#REF!</definedName>
    <definedName name="PSWInput_262" localSheetId="0" hidden="1">#REF!</definedName>
    <definedName name="PSWInput_262" hidden="1">#REF!</definedName>
    <definedName name="PSWInput_263" localSheetId="10" hidden="1">#REF!</definedName>
    <definedName name="PSWInput_263" localSheetId="5" hidden="1">#REF!</definedName>
    <definedName name="PSWInput_263" localSheetId="2" hidden="1">#REF!</definedName>
    <definedName name="PSWInput_263" localSheetId="0" hidden="1">#REF!</definedName>
    <definedName name="PSWInput_263" hidden="1">#REF!</definedName>
    <definedName name="PSWInput_264" localSheetId="10" hidden="1">#REF!</definedName>
    <definedName name="PSWInput_264" localSheetId="5" hidden="1">#REF!</definedName>
    <definedName name="PSWInput_264" localSheetId="2" hidden="1">#REF!</definedName>
    <definedName name="PSWInput_264" localSheetId="0" hidden="1">#REF!</definedName>
    <definedName name="PSWInput_264" hidden="1">#REF!</definedName>
    <definedName name="PSWInput_265" localSheetId="10" hidden="1">#REF!</definedName>
    <definedName name="PSWInput_265" localSheetId="5" hidden="1">#REF!</definedName>
    <definedName name="PSWInput_265" localSheetId="2" hidden="1">#REF!</definedName>
    <definedName name="PSWInput_265" localSheetId="0" hidden="1">#REF!</definedName>
    <definedName name="PSWInput_265" hidden="1">#REF!</definedName>
    <definedName name="PSWInput_266" localSheetId="10" hidden="1">#REF!</definedName>
    <definedName name="PSWInput_266" localSheetId="5" hidden="1">#REF!</definedName>
    <definedName name="PSWInput_266" localSheetId="2" hidden="1">#REF!</definedName>
    <definedName name="PSWInput_266" localSheetId="0" hidden="1">#REF!</definedName>
    <definedName name="PSWInput_266" hidden="1">#REF!</definedName>
    <definedName name="PSWInput_267" localSheetId="10" hidden="1">#REF!</definedName>
    <definedName name="PSWInput_267" localSheetId="5" hidden="1">#REF!</definedName>
    <definedName name="PSWInput_267" localSheetId="2" hidden="1">#REF!</definedName>
    <definedName name="PSWInput_267" localSheetId="0" hidden="1">#REF!</definedName>
    <definedName name="PSWInput_267" hidden="1">#REF!</definedName>
    <definedName name="PSWInput_268" localSheetId="10" hidden="1">#REF!</definedName>
    <definedName name="PSWInput_268" localSheetId="5" hidden="1">#REF!</definedName>
    <definedName name="PSWInput_268" localSheetId="2" hidden="1">#REF!</definedName>
    <definedName name="PSWInput_268" localSheetId="0" hidden="1">#REF!</definedName>
    <definedName name="PSWInput_268" hidden="1">#REF!</definedName>
    <definedName name="PSWInput_269" localSheetId="10" hidden="1">#REF!</definedName>
    <definedName name="PSWInput_269" localSheetId="5" hidden="1">#REF!</definedName>
    <definedName name="PSWInput_269" localSheetId="2" hidden="1">#REF!</definedName>
    <definedName name="PSWInput_269" localSheetId="0" hidden="1">#REF!</definedName>
    <definedName name="PSWInput_269" hidden="1">#REF!</definedName>
    <definedName name="PSWInput_27" localSheetId="10" hidden="1">#REF!</definedName>
    <definedName name="PSWInput_27" localSheetId="5" hidden="1">#REF!</definedName>
    <definedName name="PSWInput_27" localSheetId="2" hidden="1">#REF!</definedName>
    <definedName name="PSWInput_27" localSheetId="0" hidden="1">#REF!</definedName>
    <definedName name="PSWInput_27" hidden="1">#REF!</definedName>
    <definedName name="PSWInput_270" localSheetId="10" hidden="1">#REF!</definedName>
    <definedName name="PSWInput_270" localSheetId="5" hidden="1">#REF!</definedName>
    <definedName name="PSWInput_270" localSheetId="2" hidden="1">#REF!</definedName>
    <definedName name="PSWInput_270" localSheetId="0" hidden="1">#REF!</definedName>
    <definedName name="PSWInput_270" hidden="1">#REF!</definedName>
    <definedName name="PSWInput_271" localSheetId="10" hidden="1">#REF!</definedName>
    <definedName name="PSWInput_271" localSheetId="5" hidden="1">#REF!</definedName>
    <definedName name="PSWInput_271" localSheetId="2" hidden="1">#REF!</definedName>
    <definedName name="PSWInput_271" localSheetId="0" hidden="1">#REF!</definedName>
    <definedName name="PSWInput_271" hidden="1">#REF!</definedName>
    <definedName name="PSWInput_272" localSheetId="10" hidden="1">#REF!</definedName>
    <definedName name="PSWInput_272" localSheetId="5" hidden="1">#REF!</definedName>
    <definedName name="PSWInput_272" localSheetId="2" hidden="1">#REF!</definedName>
    <definedName name="PSWInput_272" localSheetId="0" hidden="1">#REF!</definedName>
    <definedName name="PSWInput_272" hidden="1">#REF!</definedName>
    <definedName name="PSWInput_273" localSheetId="10" hidden="1">#REF!</definedName>
    <definedName name="PSWInput_273" localSheetId="5" hidden="1">#REF!</definedName>
    <definedName name="PSWInput_273" localSheetId="2" hidden="1">#REF!</definedName>
    <definedName name="PSWInput_273" localSheetId="0" hidden="1">#REF!</definedName>
    <definedName name="PSWInput_273" hidden="1">#REF!</definedName>
    <definedName name="PSWInput_274" localSheetId="10" hidden="1">#REF!</definedName>
    <definedName name="PSWInput_274" localSheetId="5" hidden="1">#REF!</definedName>
    <definedName name="PSWInput_274" localSheetId="2" hidden="1">#REF!</definedName>
    <definedName name="PSWInput_274" localSheetId="0" hidden="1">#REF!</definedName>
    <definedName name="PSWInput_274" hidden="1">#REF!</definedName>
    <definedName name="PSWInput_275" localSheetId="10" hidden="1">#REF!</definedName>
    <definedName name="PSWInput_275" localSheetId="5" hidden="1">#REF!</definedName>
    <definedName name="PSWInput_275" localSheetId="2" hidden="1">#REF!</definedName>
    <definedName name="PSWInput_275" localSheetId="0" hidden="1">#REF!</definedName>
    <definedName name="PSWInput_275" hidden="1">#REF!</definedName>
    <definedName name="PSWInput_276" localSheetId="10" hidden="1">#REF!</definedName>
    <definedName name="PSWInput_276" localSheetId="5" hidden="1">#REF!</definedName>
    <definedName name="PSWInput_276" localSheetId="2" hidden="1">#REF!</definedName>
    <definedName name="PSWInput_276" localSheetId="0" hidden="1">#REF!</definedName>
    <definedName name="PSWInput_276" hidden="1">#REF!</definedName>
    <definedName name="PSWInput_277" localSheetId="10" hidden="1">#REF!</definedName>
    <definedName name="PSWInput_277" localSheetId="5" hidden="1">#REF!</definedName>
    <definedName name="PSWInput_277" localSheetId="2" hidden="1">#REF!</definedName>
    <definedName name="PSWInput_277" localSheetId="0" hidden="1">#REF!</definedName>
    <definedName name="PSWInput_277" hidden="1">#REF!</definedName>
    <definedName name="PSWInput_278" localSheetId="10" hidden="1">#REF!</definedName>
    <definedName name="PSWInput_278" localSheetId="5" hidden="1">#REF!</definedName>
    <definedName name="PSWInput_278" localSheetId="2" hidden="1">#REF!</definedName>
    <definedName name="PSWInput_278" localSheetId="0" hidden="1">#REF!</definedName>
    <definedName name="PSWInput_278" hidden="1">#REF!</definedName>
    <definedName name="PSWInput_279" localSheetId="10" hidden="1">#REF!</definedName>
    <definedName name="PSWInput_279" localSheetId="5" hidden="1">#REF!</definedName>
    <definedName name="PSWInput_279" localSheetId="2" hidden="1">#REF!</definedName>
    <definedName name="PSWInput_279" localSheetId="0" hidden="1">#REF!</definedName>
    <definedName name="PSWInput_279" hidden="1">#REF!</definedName>
    <definedName name="PSWInput_28" localSheetId="10" hidden="1">#REF!</definedName>
    <definedName name="PSWInput_28" localSheetId="5" hidden="1">#REF!</definedName>
    <definedName name="PSWInput_28" localSheetId="2" hidden="1">#REF!</definedName>
    <definedName name="PSWInput_28" localSheetId="0" hidden="1">#REF!</definedName>
    <definedName name="PSWInput_28" hidden="1">#REF!</definedName>
    <definedName name="PSWInput_280" localSheetId="10" hidden="1">#REF!</definedName>
    <definedName name="PSWInput_280" localSheetId="5" hidden="1">#REF!</definedName>
    <definedName name="PSWInput_280" localSheetId="2" hidden="1">#REF!</definedName>
    <definedName name="PSWInput_280" localSheetId="0" hidden="1">#REF!</definedName>
    <definedName name="PSWInput_280" hidden="1">#REF!</definedName>
    <definedName name="PSWInput_281" localSheetId="10" hidden="1">#REF!</definedName>
    <definedName name="PSWInput_281" localSheetId="5" hidden="1">#REF!</definedName>
    <definedName name="PSWInput_281" localSheetId="2" hidden="1">#REF!</definedName>
    <definedName name="PSWInput_281" localSheetId="0" hidden="1">#REF!</definedName>
    <definedName name="PSWInput_281" hidden="1">#REF!</definedName>
    <definedName name="PSWInput_282" localSheetId="10" hidden="1">#REF!</definedName>
    <definedName name="PSWInput_282" localSheetId="5" hidden="1">#REF!</definedName>
    <definedName name="PSWInput_282" localSheetId="2" hidden="1">#REF!</definedName>
    <definedName name="PSWInput_282" localSheetId="0" hidden="1">#REF!</definedName>
    <definedName name="PSWInput_282" hidden="1">#REF!</definedName>
    <definedName name="PSWInput_283" localSheetId="10" hidden="1">#REF!</definedName>
    <definedName name="PSWInput_283" localSheetId="5" hidden="1">#REF!</definedName>
    <definedName name="PSWInput_283" localSheetId="2" hidden="1">#REF!</definedName>
    <definedName name="PSWInput_283" localSheetId="0" hidden="1">#REF!</definedName>
    <definedName name="PSWInput_283" hidden="1">#REF!</definedName>
    <definedName name="PSWInput_284" localSheetId="10" hidden="1">#REF!</definedName>
    <definedName name="PSWInput_284" localSheetId="5" hidden="1">#REF!</definedName>
    <definedName name="PSWInput_284" localSheetId="2" hidden="1">#REF!</definedName>
    <definedName name="PSWInput_284" localSheetId="0" hidden="1">#REF!</definedName>
    <definedName name="PSWInput_284" hidden="1">#REF!</definedName>
    <definedName name="PSWInput_285" localSheetId="10" hidden="1">#REF!</definedName>
    <definedName name="PSWInput_285" localSheetId="5" hidden="1">#REF!</definedName>
    <definedName name="PSWInput_285" localSheetId="2" hidden="1">#REF!</definedName>
    <definedName name="PSWInput_285" localSheetId="0" hidden="1">#REF!</definedName>
    <definedName name="PSWInput_285" hidden="1">#REF!</definedName>
    <definedName name="PSWInput_286" localSheetId="10" hidden="1">#REF!</definedName>
    <definedName name="PSWInput_286" localSheetId="5" hidden="1">#REF!</definedName>
    <definedName name="PSWInput_286" localSheetId="2" hidden="1">#REF!</definedName>
    <definedName name="PSWInput_286" localSheetId="0" hidden="1">#REF!</definedName>
    <definedName name="PSWInput_286" hidden="1">#REF!</definedName>
    <definedName name="PSWInput_287" localSheetId="10" hidden="1">#REF!</definedName>
    <definedName name="PSWInput_287" localSheetId="5" hidden="1">#REF!</definedName>
    <definedName name="PSWInput_287" localSheetId="2" hidden="1">#REF!</definedName>
    <definedName name="PSWInput_287" localSheetId="0" hidden="1">#REF!</definedName>
    <definedName name="PSWInput_287" hidden="1">#REF!</definedName>
    <definedName name="PSWInput_288" localSheetId="10" hidden="1">#REF!</definedName>
    <definedName name="PSWInput_288" localSheetId="5" hidden="1">#REF!</definedName>
    <definedName name="PSWInput_288" localSheetId="2" hidden="1">#REF!</definedName>
    <definedName name="PSWInput_288" localSheetId="0" hidden="1">#REF!</definedName>
    <definedName name="PSWInput_288" hidden="1">#REF!</definedName>
    <definedName name="PSWInput_289" localSheetId="10" hidden="1">#REF!</definedName>
    <definedName name="PSWInput_289" localSheetId="5" hidden="1">#REF!</definedName>
    <definedName name="PSWInput_289" localSheetId="2" hidden="1">#REF!</definedName>
    <definedName name="PSWInput_289" localSheetId="0" hidden="1">#REF!</definedName>
    <definedName name="PSWInput_289" hidden="1">#REF!</definedName>
    <definedName name="PSWInput_29" localSheetId="10" hidden="1">#REF!</definedName>
    <definedName name="PSWInput_29" localSheetId="5" hidden="1">#REF!</definedName>
    <definedName name="PSWInput_29" localSheetId="2" hidden="1">#REF!</definedName>
    <definedName name="PSWInput_29" localSheetId="0" hidden="1">#REF!</definedName>
    <definedName name="PSWInput_29" hidden="1">#REF!</definedName>
    <definedName name="PSWInput_290" localSheetId="10" hidden="1">#REF!</definedName>
    <definedName name="PSWInput_290" localSheetId="5" hidden="1">#REF!</definedName>
    <definedName name="PSWInput_290" localSheetId="2" hidden="1">#REF!</definedName>
    <definedName name="PSWInput_290" localSheetId="0" hidden="1">#REF!</definedName>
    <definedName name="PSWInput_290" hidden="1">#REF!</definedName>
    <definedName name="PSWInput_291" localSheetId="10" hidden="1">#REF!</definedName>
    <definedName name="PSWInput_291" localSheetId="5" hidden="1">#REF!</definedName>
    <definedName name="PSWInput_291" localSheetId="2" hidden="1">#REF!</definedName>
    <definedName name="PSWInput_291" localSheetId="0" hidden="1">#REF!</definedName>
    <definedName name="PSWInput_291" hidden="1">#REF!</definedName>
    <definedName name="PSWInput_292" localSheetId="10" hidden="1">#REF!</definedName>
    <definedName name="PSWInput_292" localSheetId="5" hidden="1">#REF!</definedName>
    <definedName name="PSWInput_292" localSheetId="2" hidden="1">#REF!</definedName>
    <definedName name="PSWInput_292" localSheetId="0" hidden="1">#REF!</definedName>
    <definedName name="PSWInput_292" hidden="1">#REF!</definedName>
    <definedName name="PSWInput_293" localSheetId="10" hidden="1">#REF!</definedName>
    <definedName name="PSWInput_293" localSheetId="5" hidden="1">#REF!</definedName>
    <definedName name="PSWInput_293" localSheetId="2" hidden="1">#REF!</definedName>
    <definedName name="PSWInput_293" localSheetId="0" hidden="1">#REF!</definedName>
    <definedName name="PSWInput_293" hidden="1">#REF!</definedName>
    <definedName name="PSWInput_294" localSheetId="10" hidden="1">#REF!</definedName>
    <definedName name="PSWInput_294" localSheetId="5" hidden="1">#REF!</definedName>
    <definedName name="PSWInput_294" localSheetId="2" hidden="1">#REF!</definedName>
    <definedName name="PSWInput_294" localSheetId="0" hidden="1">#REF!</definedName>
    <definedName name="PSWInput_294" hidden="1">#REF!</definedName>
    <definedName name="PSWInput_295" localSheetId="10" hidden="1">#REF!</definedName>
    <definedName name="PSWInput_295" localSheetId="5" hidden="1">#REF!</definedName>
    <definedName name="PSWInput_295" localSheetId="2" hidden="1">#REF!</definedName>
    <definedName name="PSWInput_295" localSheetId="0" hidden="1">#REF!</definedName>
    <definedName name="PSWInput_295" hidden="1">#REF!</definedName>
    <definedName name="PSWInput_296" localSheetId="10" hidden="1">#REF!</definedName>
    <definedName name="PSWInput_296" localSheetId="5" hidden="1">#REF!</definedName>
    <definedName name="PSWInput_296" localSheetId="2" hidden="1">#REF!</definedName>
    <definedName name="PSWInput_296" localSheetId="0" hidden="1">#REF!</definedName>
    <definedName name="PSWInput_296" hidden="1">#REF!</definedName>
    <definedName name="PSWInput_297" localSheetId="10" hidden="1">#REF!</definedName>
    <definedName name="PSWInput_297" localSheetId="5" hidden="1">#REF!</definedName>
    <definedName name="PSWInput_297" localSheetId="2" hidden="1">#REF!</definedName>
    <definedName name="PSWInput_297" localSheetId="0" hidden="1">#REF!</definedName>
    <definedName name="PSWInput_297" hidden="1">#REF!</definedName>
    <definedName name="PSWInput_298" localSheetId="10" hidden="1">#REF!</definedName>
    <definedName name="PSWInput_298" localSheetId="5" hidden="1">#REF!</definedName>
    <definedName name="PSWInput_298" localSheetId="2" hidden="1">#REF!</definedName>
    <definedName name="PSWInput_298" localSheetId="0" hidden="1">#REF!</definedName>
    <definedName name="PSWInput_298" hidden="1">#REF!</definedName>
    <definedName name="PSWInput_299" localSheetId="10" hidden="1">#REF!</definedName>
    <definedName name="PSWInput_299" localSheetId="5" hidden="1">#REF!</definedName>
    <definedName name="PSWInput_299" localSheetId="2" hidden="1">#REF!</definedName>
    <definedName name="PSWInput_299" localSheetId="0" hidden="1">#REF!</definedName>
    <definedName name="PSWInput_299" hidden="1">#REF!</definedName>
    <definedName name="PSWInput_3" localSheetId="10" hidden="1">#REF!</definedName>
    <definedName name="PSWInput_3" localSheetId="5" hidden="1">#REF!</definedName>
    <definedName name="PSWInput_3" localSheetId="2" hidden="1">#REF!</definedName>
    <definedName name="PSWInput_3" localSheetId="0" hidden="1">#REF!</definedName>
    <definedName name="PSWInput_3" hidden="1">#REF!</definedName>
    <definedName name="PSWInput_30" localSheetId="10" hidden="1">#REF!</definedName>
    <definedName name="PSWInput_30" localSheetId="5" hidden="1">#REF!</definedName>
    <definedName name="PSWInput_30" localSheetId="2" hidden="1">#REF!</definedName>
    <definedName name="PSWInput_30" localSheetId="0" hidden="1">#REF!</definedName>
    <definedName name="PSWInput_30" hidden="1">#REF!</definedName>
    <definedName name="PSWInput_300" localSheetId="10" hidden="1">#REF!</definedName>
    <definedName name="PSWInput_300" localSheetId="5" hidden="1">#REF!</definedName>
    <definedName name="PSWInput_300" localSheetId="2" hidden="1">#REF!</definedName>
    <definedName name="PSWInput_300" localSheetId="0" hidden="1">#REF!</definedName>
    <definedName name="PSWInput_300" hidden="1">#REF!</definedName>
    <definedName name="PSWInput_301" localSheetId="10" hidden="1">#REF!</definedName>
    <definedName name="PSWInput_301" localSheetId="5" hidden="1">#REF!</definedName>
    <definedName name="PSWInput_301" localSheetId="2" hidden="1">#REF!</definedName>
    <definedName name="PSWInput_301" localSheetId="0" hidden="1">#REF!</definedName>
    <definedName name="PSWInput_301" hidden="1">#REF!</definedName>
    <definedName name="PSWInput_302" localSheetId="10" hidden="1">#REF!</definedName>
    <definedName name="PSWInput_302" localSheetId="5" hidden="1">#REF!</definedName>
    <definedName name="PSWInput_302" localSheetId="2" hidden="1">#REF!</definedName>
    <definedName name="PSWInput_302" localSheetId="0" hidden="1">#REF!</definedName>
    <definedName name="PSWInput_302" hidden="1">#REF!</definedName>
    <definedName name="PSWInput_303" localSheetId="10" hidden="1">#REF!</definedName>
    <definedName name="PSWInput_303" localSheetId="5" hidden="1">#REF!</definedName>
    <definedName name="PSWInput_303" localSheetId="2" hidden="1">#REF!</definedName>
    <definedName name="PSWInput_303" localSheetId="0" hidden="1">#REF!</definedName>
    <definedName name="PSWInput_303" hidden="1">#REF!</definedName>
    <definedName name="PSWInput_304" localSheetId="10" hidden="1">#REF!</definedName>
    <definedName name="PSWInput_304" localSheetId="5" hidden="1">#REF!</definedName>
    <definedName name="PSWInput_304" localSheetId="2" hidden="1">#REF!</definedName>
    <definedName name="PSWInput_304" localSheetId="0" hidden="1">#REF!</definedName>
    <definedName name="PSWInput_304" hidden="1">#REF!</definedName>
    <definedName name="PSWInput_305" localSheetId="10" hidden="1">#REF!</definedName>
    <definedName name="PSWInput_305" localSheetId="5" hidden="1">#REF!</definedName>
    <definedName name="PSWInput_305" localSheetId="2" hidden="1">#REF!</definedName>
    <definedName name="PSWInput_305" localSheetId="0" hidden="1">#REF!</definedName>
    <definedName name="PSWInput_305" hidden="1">#REF!</definedName>
    <definedName name="PSWInput_306" localSheetId="10" hidden="1">#REF!</definedName>
    <definedName name="PSWInput_306" localSheetId="5" hidden="1">#REF!</definedName>
    <definedName name="PSWInput_306" localSheetId="2" hidden="1">#REF!</definedName>
    <definedName name="PSWInput_306" localSheetId="0" hidden="1">#REF!</definedName>
    <definedName name="PSWInput_306" hidden="1">#REF!</definedName>
    <definedName name="PSWInput_307" localSheetId="10" hidden="1">#REF!</definedName>
    <definedName name="PSWInput_307" localSheetId="5" hidden="1">#REF!</definedName>
    <definedName name="PSWInput_307" localSheetId="2" hidden="1">#REF!</definedName>
    <definedName name="PSWInput_307" localSheetId="0" hidden="1">#REF!</definedName>
    <definedName name="PSWInput_307" hidden="1">#REF!</definedName>
    <definedName name="PSWInput_308" localSheetId="10" hidden="1">#REF!</definedName>
    <definedName name="PSWInput_308" localSheetId="5" hidden="1">#REF!</definedName>
    <definedName name="PSWInput_308" localSheetId="2" hidden="1">#REF!</definedName>
    <definedName name="PSWInput_308" localSheetId="0" hidden="1">#REF!</definedName>
    <definedName name="PSWInput_308" hidden="1">#REF!</definedName>
    <definedName name="PSWInput_309" localSheetId="10" hidden="1">#REF!</definedName>
    <definedName name="PSWInput_309" localSheetId="5" hidden="1">#REF!</definedName>
    <definedName name="PSWInput_309" localSheetId="2" hidden="1">#REF!</definedName>
    <definedName name="PSWInput_309" localSheetId="0" hidden="1">#REF!</definedName>
    <definedName name="PSWInput_309" hidden="1">#REF!</definedName>
    <definedName name="PSWInput_31" localSheetId="10" hidden="1">#REF!</definedName>
    <definedName name="PSWInput_31" localSheetId="5" hidden="1">#REF!</definedName>
    <definedName name="PSWInput_31" localSheetId="2" hidden="1">#REF!</definedName>
    <definedName name="PSWInput_31" localSheetId="0" hidden="1">#REF!</definedName>
    <definedName name="PSWInput_31" hidden="1">#REF!</definedName>
    <definedName name="PSWInput_310" localSheetId="10" hidden="1">#REF!</definedName>
    <definedName name="PSWInput_310" localSheetId="5" hidden="1">#REF!</definedName>
    <definedName name="PSWInput_310" localSheetId="2" hidden="1">#REF!</definedName>
    <definedName name="PSWInput_310" localSheetId="0" hidden="1">#REF!</definedName>
    <definedName name="PSWInput_310" hidden="1">#REF!</definedName>
    <definedName name="PSWInput_311" localSheetId="10" hidden="1">#REF!</definedName>
    <definedName name="PSWInput_311" localSheetId="5" hidden="1">#REF!</definedName>
    <definedName name="PSWInput_311" localSheetId="2" hidden="1">#REF!</definedName>
    <definedName name="PSWInput_311" localSheetId="0" hidden="1">#REF!</definedName>
    <definedName name="PSWInput_311" hidden="1">#REF!</definedName>
    <definedName name="PSWInput_312" localSheetId="10" hidden="1">#REF!</definedName>
    <definedName name="PSWInput_312" localSheetId="5" hidden="1">#REF!</definedName>
    <definedName name="PSWInput_312" localSheetId="2" hidden="1">#REF!</definedName>
    <definedName name="PSWInput_312" localSheetId="0" hidden="1">#REF!</definedName>
    <definedName name="PSWInput_312" hidden="1">#REF!</definedName>
    <definedName name="PSWInput_313" localSheetId="10" hidden="1">#REF!</definedName>
    <definedName name="PSWInput_313" localSheetId="5" hidden="1">#REF!</definedName>
    <definedName name="PSWInput_313" localSheetId="2" hidden="1">#REF!</definedName>
    <definedName name="PSWInput_313" localSheetId="0" hidden="1">#REF!</definedName>
    <definedName name="PSWInput_313" hidden="1">#REF!</definedName>
    <definedName name="PSWInput_314" localSheetId="10" hidden="1">#REF!</definedName>
    <definedName name="PSWInput_314" localSheetId="5" hidden="1">#REF!</definedName>
    <definedName name="PSWInput_314" localSheetId="2" hidden="1">#REF!</definedName>
    <definedName name="PSWInput_314" localSheetId="0" hidden="1">#REF!</definedName>
    <definedName name="PSWInput_314" hidden="1">#REF!</definedName>
    <definedName name="PSWInput_315" localSheetId="10" hidden="1">#REF!</definedName>
    <definedName name="PSWInput_315" localSheetId="5" hidden="1">#REF!</definedName>
    <definedName name="PSWInput_315" localSheetId="2" hidden="1">#REF!</definedName>
    <definedName name="PSWInput_315" localSheetId="0" hidden="1">#REF!</definedName>
    <definedName name="PSWInput_315" hidden="1">#REF!</definedName>
    <definedName name="PSWInput_316" localSheetId="10" hidden="1">#REF!</definedName>
    <definedName name="PSWInput_316" localSheetId="5" hidden="1">#REF!</definedName>
    <definedName name="PSWInput_316" localSheetId="2" hidden="1">#REF!</definedName>
    <definedName name="PSWInput_316" localSheetId="0" hidden="1">#REF!</definedName>
    <definedName name="PSWInput_316" hidden="1">#REF!</definedName>
    <definedName name="PSWInput_317" localSheetId="10" hidden="1">#REF!</definedName>
    <definedName name="PSWInput_317" localSheetId="5" hidden="1">#REF!</definedName>
    <definedName name="PSWInput_317" localSheetId="2" hidden="1">#REF!</definedName>
    <definedName name="PSWInput_317" localSheetId="0" hidden="1">#REF!</definedName>
    <definedName name="PSWInput_317" hidden="1">#REF!</definedName>
    <definedName name="PSWInput_318" localSheetId="10" hidden="1">#REF!</definedName>
    <definedName name="PSWInput_318" localSheetId="5" hidden="1">#REF!</definedName>
    <definedName name="PSWInput_318" localSheetId="2" hidden="1">#REF!</definedName>
    <definedName name="PSWInput_318" localSheetId="0" hidden="1">#REF!</definedName>
    <definedName name="PSWInput_318" hidden="1">#REF!</definedName>
    <definedName name="PSWInput_319" localSheetId="10" hidden="1">#REF!</definedName>
    <definedName name="PSWInput_319" localSheetId="5" hidden="1">#REF!</definedName>
    <definedName name="PSWInput_319" localSheetId="2" hidden="1">#REF!</definedName>
    <definedName name="PSWInput_319" localSheetId="0" hidden="1">#REF!</definedName>
    <definedName name="PSWInput_319" hidden="1">#REF!</definedName>
    <definedName name="PSWInput_32" localSheetId="10" hidden="1">#REF!</definedName>
    <definedName name="PSWInput_32" localSheetId="5" hidden="1">#REF!</definedName>
    <definedName name="PSWInput_32" localSheetId="2" hidden="1">#REF!</definedName>
    <definedName name="PSWInput_32" localSheetId="0" hidden="1">#REF!</definedName>
    <definedName name="PSWInput_32" hidden="1">#REF!</definedName>
    <definedName name="PSWInput_320" localSheetId="10" hidden="1">#REF!</definedName>
    <definedName name="PSWInput_320" localSheetId="5" hidden="1">#REF!</definedName>
    <definedName name="PSWInput_320" localSheetId="2" hidden="1">#REF!</definedName>
    <definedName name="PSWInput_320" localSheetId="0" hidden="1">#REF!</definedName>
    <definedName name="PSWInput_320" hidden="1">#REF!</definedName>
    <definedName name="PSWInput_321" localSheetId="10" hidden="1">#REF!</definedName>
    <definedName name="PSWInput_321" localSheetId="5" hidden="1">#REF!</definedName>
    <definedName name="PSWInput_321" localSheetId="2" hidden="1">#REF!</definedName>
    <definedName name="PSWInput_321" localSheetId="0" hidden="1">#REF!</definedName>
    <definedName name="PSWInput_321" hidden="1">#REF!</definedName>
    <definedName name="PSWInput_322" localSheetId="10" hidden="1">#REF!</definedName>
    <definedName name="PSWInput_322" localSheetId="5" hidden="1">#REF!</definedName>
    <definedName name="PSWInput_322" localSheetId="2" hidden="1">#REF!</definedName>
    <definedName name="PSWInput_322" localSheetId="0" hidden="1">#REF!</definedName>
    <definedName name="PSWInput_322" hidden="1">#REF!</definedName>
    <definedName name="PSWInput_323" localSheetId="10" hidden="1">#REF!</definedName>
    <definedName name="PSWInput_323" localSheetId="5" hidden="1">#REF!</definedName>
    <definedName name="PSWInput_323" localSheetId="2" hidden="1">#REF!</definedName>
    <definedName name="PSWInput_323" localSheetId="0" hidden="1">#REF!</definedName>
    <definedName name="PSWInput_323" hidden="1">#REF!</definedName>
    <definedName name="PSWInput_324" localSheetId="10" hidden="1">#REF!</definedName>
    <definedName name="PSWInput_324" localSheetId="5" hidden="1">#REF!</definedName>
    <definedName name="PSWInput_324" localSheetId="2" hidden="1">#REF!</definedName>
    <definedName name="PSWInput_324" localSheetId="0" hidden="1">#REF!</definedName>
    <definedName name="PSWInput_324" hidden="1">#REF!</definedName>
    <definedName name="PSWInput_325" localSheetId="10" hidden="1">#REF!</definedName>
    <definedName name="PSWInput_325" localSheetId="5" hidden="1">#REF!</definedName>
    <definedName name="PSWInput_325" localSheetId="2" hidden="1">#REF!</definedName>
    <definedName name="PSWInput_325" localSheetId="0" hidden="1">#REF!</definedName>
    <definedName name="PSWInput_325" hidden="1">#REF!</definedName>
    <definedName name="PSWInput_326" localSheetId="10" hidden="1">#REF!</definedName>
    <definedName name="PSWInput_326" localSheetId="5" hidden="1">#REF!</definedName>
    <definedName name="PSWInput_326" localSheetId="2" hidden="1">#REF!</definedName>
    <definedName name="PSWInput_326" localSheetId="0" hidden="1">#REF!</definedName>
    <definedName name="PSWInput_326" hidden="1">#REF!</definedName>
    <definedName name="PSWInput_327" localSheetId="10" hidden="1">#REF!</definedName>
    <definedName name="PSWInput_327" localSheetId="5" hidden="1">#REF!</definedName>
    <definedName name="PSWInput_327" localSheetId="2" hidden="1">#REF!</definedName>
    <definedName name="PSWInput_327" localSheetId="0" hidden="1">#REF!</definedName>
    <definedName name="PSWInput_327" hidden="1">#REF!</definedName>
    <definedName name="PSWInput_328" localSheetId="10" hidden="1">#REF!</definedName>
    <definedName name="PSWInput_328" localSheetId="5" hidden="1">#REF!</definedName>
    <definedName name="PSWInput_328" localSheetId="2" hidden="1">#REF!</definedName>
    <definedName name="PSWInput_328" localSheetId="0" hidden="1">#REF!</definedName>
    <definedName name="PSWInput_328" hidden="1">#REF!</definedName>
    <definedName name="PSWInput_329" localSheetId="10" hidden="1">#REF!</definedName>
    <definedName name="PSWInput_329" localSheetId="5" hidden="1">#REF!</definedName>
    <definedName name="PSWInput_329" localSheetId="2" hidden="1">#REF!</definedName>
    <definedName name="PSWInput_329" localSheetId="0" hidden="1">#REF!</definedName>
    <definedName name="PSWInput_329" hidden="1">#REF!</definedName>
    <definedName name="PSWInput_33" localSheetId="10" hidden="1">#REF!</definedName>
    <definedName name="PSWInput_33" localSheetId="5" hidden="1">#REF!</definedName>
    <definedName name="PSWInput_33" localSheetId="2" hidden="1">#REF!</definedName>
    <definedName name="PSWInput_33" localSheetId="0" hidden="1">#REF!</definedName>
    <definedName name="PSWInput_33" hidden="1">#REF!</definedName>
    <definedName name="PSWInput_330" localSheetId="10" hidden="1">#REF!</definedName>
    <definedName name="PSWInput_330" localSheetId="5" hidden="1">#REF!</definedName>
    <definedName name="PSWInput_330" localSheetId="2" hidden="1">#REF!</definedName>
    <definedName name="PSWInput_330" localSheetId="0" hidden="1">#REF!</definedName>
    <definedName name="PSWInput_330" hidden="1">#REF!</definedName>
    <definedName name="PSWInput_331" localSheetId="10" hidden="1">#REF!</definedName>
    <definedName name="PSWInput_331" localSheetId="5" hidden="1">#REF!</definedName>
    <definedName name="PSWInput_331" localSheetId="2" hidden="1">#REF!</definedName>
    <definedName name="PSWInput_331" localSheetId="0" hidden="1">#REF!</definedName>
    <definedName name="PSWInput_331" hidden="1">#REF!</definedName>
    <definedName name="PSWInput_332" localSheetId="10" hidden="1">#REF!</definedName>
    <definedName name="PSWInput_332" localSheetId="5" hidden="1">#REF!</definedName>
    <definedName name="PSWInput_332" localSheetId="2" hidden="1">#REF!</definedName>
    <definedName name="PSWInput_332" localSheetId="0" hidden="1">#REF!</definedName>
    <definedName name="PSWInput_332" hidden="1">#REF!</definedName>
    <definedName name="PSWInput_333" localSheetId="10" hidden="1">#REF!</definedName>
    <definedName name="PSWInput_333" localSheetId="5" hidden="1">#REF!</definedName>
    <definedName name="PSWInput_333" localSheetId="2" hidden="1">#REF!</definedName>
    <definedName name="PSWInput_333" localSheetId="0" hidden="1">#REF!</definedName>
    <definedName name="PSWInput_333" hidden="1">#REF!</definedName>
    <definedName name="PSWInput_334" localSheetId="10" hidden="1">#REF!</definedName>
    <definedName name="PSWInput_334" localSheetId="5" hidden="1">#REF!</definedName>
    <definedName name="PSWInput_334" localSheetId="2" hidden="1">#REF!</definedName>
    <definedName name="PSWInput_334" localSheetId="0" hidden="1">#REF!</definedName>
    <definedName name="PSWInput_334" hidden="1">#REF!</definedName>
    <definedName name="PSWInput_335" localSheetId="10" hidden="1">#REF!</definedName>
    <definedName name="PSWInput_335" localSheetId="5" hidden="1">#REF!</definedName>
    <definedName name="PSWInput_335" localSheetId="2" hidden="1">#REF!</definedName>
    <definedName name="PSWInput_335" localSheetId="0" hidden="1">#REF!</definedName>
    <definedName name="PSWInput_335" hidden="1">#REF!</definedName>
    <definedName name="PSWInput_336" localSheetId="10" hidden="1">#REF!</definedName>
    <definedName name="PSWInput_336" localSheetId="5" hidden="1">#REF!</definedName>
    <definedName name="PSWInput_336" localSheetId="2" hidden="1">#REF!</definedName>
    <definedName name="PSWInput_336" localSheetId="0" hidden="1">#REF!</definedName>
    <definedName name="PSWInput_336" hidden="1">#REF!</definedName>
    <definedName name="PSWInput_337" localSheetId="10" hidden="1">#REF!</definedName>
    <definedName name="PSWInput_337" localSheetId="5" hidden="1">#REF!</definedName>
    <definedName name="PSWInput_337" localSheetId="2" hidden="1">#REF!</definedName>
    <definedName name="PSWInput_337" localSheetId="0" hidden="1">#REF!</definedName>
    <definedName name="PSWInput_337" hidden="1">#REF!</definedName>
    <definedName name="PSWInput_338" localSheetId="10" hidden="1">#REF!</definedName>
    <definedName name="PSWInput_338" localSheetId="5" hidden="1">#REF!</definedName>
    <definedName name="PSWInput_338" localSheetId="2" hidden="1">#REF!</definedName>
    <definedName name="PSWInput_338" localSheetId="0" hidden="1">#REF!</definedName>
    <definedName name="PSWInput_338" hidden="1">#REF!</definedName>
    <definedName name="PSWInput_339" localSheetId="10" hidden="1">#REF!</definedName>
    <definedName name="PSWInput_339" localSheetId="5" hidden="1">#REF!</definedName>
    <definedName name="PSWInput_339" localSheetId="2" hidden="1">#REF!</definedName>
    <definedName name="PSWInput_339" localSheetId="0" hidden="1">#REF!</definedName>
    <definedName name="PSWInput_339" hidden="1">#REF!</definedName>
    <definedName name="PSWInput_34" localSheetId="10" hidden="1">#REF!</definedName>
    <definedName name="PSWInput_34" localSheetId="5" hidden="1">#REF!</definedName>
    <definedName name="PSWInput_34" localSheetId="2" hidden="1">#REF!</definedName>
    <definedName name="PSWInput_34" localSheetId="0" hidden="1">#REF!</definedName>
    <definedName name="PSWInput_34" hidden="1">#REF!</definedName>
    <definedName name="PSWInput_340" localSheetId="10" hidden="1">#REF!</definedName>
    <definedName name="PSWInput_340" localSheetId="5" hidden="1">#REF!</definedName>
    <definedName name="PSWInput_340" localSheetId="2" hidden="1">#REF!</definedName>
    <definedName name="PSWInput_340" localSheetId="0" hidden="1">#REF!</definedName>
    <definedName name="PSWInput_340" hidden="1">#REF!</definedName>
    <definedName name="PSWInput_341" localSheetId="10" hidden="1">#REF!</definedName>
    <definedName name="PSWInput_341" localSheetId="5" hidden="1">#REF!</definedName>
    <definedName name="PSWInput_341" localSheetId="2" hidden="1">#REF!</definedName>
    <definedName name="PSWInput_341" localSheetId="0" hidden="1">#REF!</definedName>
    <definedName name="PSWInput_341" hidden="1">#REF!</definedName>
    <definedName name="PSWInput_342" localSheetId="10" hidden="1">#REF!</definedName>
    <definedName name="PSWInput_342" localSheetId="5" hidden="1">#REF!</definedName>
    <definedName name="PSWInput_342" localSheetId="2" hidden="1">#REF!</definedName>
    <definedName name="PSWInput_342" localSheetId="0" hidden="1">#REF!</definedName>
    <definedName name="PSWInput_342" hidden="1">#REF!</definedName>
    <definedName name="PSWInput_343" localSheetId="10" hidden="1">#REF!</definedName>
    <definedName name="PSWInput_343" localSheetId="5" hidden="1">#REF!</definedName>
    <definedName name="PSWInput_343" localSheetId="2" hidden="1">#REF!</definedName>
    <definedName name="PSWInput_343" localSheetId="0" hidden="1">#REF!</definedName>
    <definedName name="PSWInput_343" hidden="1">#REF!</definedName>
    <definedName name="PSWInput_344" localSheetId="10" hidden="1">#REF!</definedName>
    <definedName name="PSWInput_344" localSheetId="5" hidden="1">#REF!</definedName>
    <definedName name="PSWInput_344" localSheetId="2" hidden="1">#REF!</definedName>
    <definedName name="PSWInput_344" localSheetId="0" hidden="1">#REF!</definedName>
    <definedName name="PSWInput_344" hidden="1">#REF!</definedName>
    <definedName name="PSWInput_345" localSheetId="10" hidden="1">#REF!</definedName>
    <definedName name="PSWInput_345" localSheetId="5" hidden="1">#REF!</definedName>
    <definedName name="PSWInput_345" localSheetId="2" hidden="1">#REF!</definedName>
    <definedName name="PSWInput_345" localSheetId="0" hidden="1">#REF!</definedName>
    <definedName name="PSWInput_345" hidden="1">#REF!</definedName>
    <definedName name="PSWInput_346" localSheetId="10" hidden="1">#REF!</definedName>
    <definedName name="PSWInput_346" localSheetId="5" hidden="1">#REF!</definedName>
    <definedName name="PSWInput_346" localSheetId="2" hidden="1">#REF!</definedName>
    <definedName name="PSWInput_346" localSheetId="0" hidden="1">#REF!</definedName>
    <definedName name="PSWInput_346" hidden="1">#REF!</definedName>
    <definedName name="PSWInput_347" localSheetId="10" hidden="1">#REF!</definedName>
    <definedName name="PSWInput_347" localSheetId="5" hidden="1">#REF!</definedName>
    <definedName name="PSWInput_347" localSheetId="2" hidden="1">#REF!</definedName>
    <definedName name="PSWInput_347" localSheetId="0" hidden="1">#REF!</definedName>
    <definedName name="PSWInput_347" hidden="1">#REF!</definedName>
    <definedName name="PSWInput_348" localSheetId="10" hidden="1">#REF!</definedName>
    <definedName name="PSWInput_348" localSheetId="5" hidden="1">#REF!</definedName>
    <definedName name="PSWInput_348" localSheetId="2" hidden="1">#REF!</definedName>
    <definedName name="PSWInput_348" localSheetId="0" hidden="1">#REF!</definedName>
    <definedName name="PSWInput_348" hidden="1">#REF!</definedName>
    <definedName name="PSWInput_349" localSheetId="10" hidden="1">#REF!</definedName>
    <definedName name="PSWInput_349" localSheetId="5" hidden="1">#REF!</definedName>
    <definedName name="PSWInput_349" localSheetId="2" hidden="1">#REF!</definedName>
    <definedName name="PSWInput_349" localSheetId="0" hidden="1">#REF!</definedName>
    <definedName name="PSWInput_349" hidden="1">#REF!</definedName>
    <definedName name="PSWInput_35" localSheetId="10" hidden="1">#REF!</definedName>
    <definedName name="PSWInput_35" localSheetId="5" hidden="1">#REF!</definedName>
    <definedName name="PSWInput_35" localSheetId="2" hidden="1">#REF!</definedName>
    <definedName name="PSWInput_35" localSheetId="0" hidden="1">#REF!</definedName>
    <definedName name="PSWInput_35" hidden="1">#REF!</definedName>
    <definedName name="PSWInput_350" localSheetId="10" hidden="1">#REF!</definedName>
    <definedName name="PSWInput_350" localSheetId="5" hidden="1">#REF!</definedName>
    <definedName name="PSWInput_350" localSheetId="2" hidden="1">#REF!</definedName>
    <definedName name="PSWInput_350" localSheetId="0" hidden="1">#REF!</definedName>
    <definedName name="PSWInput_350" hidden="1">#REF!</definedName>
    <definedName name="PSWInput_351" localSheetId="10" hidden="1">#REF!</definedName>
    <definedName name="PSWInput_351" localSheetId="5" hidden="1">#REF!</definedName>
    <definedName name="PSWInput_351" localSheetId="2" hidden="1">#REF!</definedName>
    <definedName name="PSWInput_351" localSheetId="0" hidden="1">#REF!</definedName>
    <definedName name="PSWInput_351" hidden="1">#REF!</definedName>
    <definedName name="PSWInput_352" localSheetId="10" hidden="1">#REF!</definedName>
    <definedName name="PSWInput_352" localSheetId="5" hidden="1">#REF!</definedName>
    <definedName name="PSWInput_352" localSheetId="2" hidden="1">#REF!</definedName>
    <definedName name="PSWInput_352" localSheetId="0" hidden="1">#REF!</definedName>
    <definedName name="PSWInput_352" hidden="1">#REF!</definedName>
    <definedName name="PSWInput_353" localSheetId="10" hidden="1">#REF!</definedName>
    <definedName name="PSWInput_353" localSheetId="5" hidden="1">#REF!</definedName>
    <definedName name="PSWInput_353" localSheetId="2" hidden="1">#REF!</definedName>
    <definedName name="PSWInput_353" localSheetId="0" hidden="1">#REF!</definedName>
    <definedName name="PSWInput_353" hidden="1">#REF!</definedName>
    <definedName name="PSWInput_354" localSheetId="10" hidden="1">#REF!</definedName>
    <definedName name="PSWInput_354" localSheetId="5" hidden="1">#REF!</definedName>
    <definedName name="PSWInput_354" localSheetId="2" hidden="1">#REF!</definedName>
    <definedName name="PSWInput_354" localSheetId="0" hidden="1">#REF!</definedName>
    <definedName name="PSWInput_354" hidden="1">#REF!</definedName>
    <definedName name="PSWInput_355" localSheetId="10" hidden="1">#REF!</definedName>
    <definedName name="PSWInput_355" localSheetId="5" hidden="1">#REF!</definedName>
    <definedName name="PSWInput_355" localSheetId="2" hidden="1">#REF!</definedName>
    <definedName name="PSWInput_355" localSheetId="0" hidden="1">#REF!</definedName>
    <definedName name="PSWInput_355" hidden="1">#REF!</definedName>
    <definedName name="PSWInput_356" localSheetId="10" hidden="1">#REF!</definedName>
    <definedName name="PSWInput_356" localSheetId="5" hidden="1">#REF!</definedName>
    <definedName name="PSWInput_356" localSheetId="2" hidden="1">#REF!</definedName>
    <definedName name="PSWInput_356" localSheetId="0" hidden="1">#REF!</definedName>
    <definedName name="PSWInput_356" hidden="1">#REF!</definedName>
    <definedName name="PSWInput_357" localSheetId="10" hidden="1">#REF!</definedName>
    <definedName name="PSWInput_357" localSheetId="5" hidden="1">#REF!</definedName>
    <definedName name="PSWInput_357" localSheetId="2" hidden="1">#REF!</definedName>
    <definedName name="PSWInput_357" localSheetId="0" hidden="1">#REF!</definedName>
    <definedName name="PSWInput_357" hidden="1">#REF!</definedName>
    <definedName name="PSWInput_358" localSheetId="10" hidden="1">#REF!</definedName>
    <definedName name="PSWInput_358" localSheetId="5" hidden="1">#REF!</definedName>
    <definedName name="PSWInput_358" localSheetId="2" hidden="1">#REF!</definedName>
    <definedName name="PSWInput_358" localSheetId="0" hidden="1">#REF!</definedName>
    <definedName name="PSWInput_358" hidden="1">#REF!</definedName>
    <definedName name="PSWInput_359" localSheetId="10" hidden="1">#REF!</definedName>
    <definedName name="PSWInput_359" localSheetId="5" hidden="1">#REF!</definedName>
    <definedName name="PSWInput_359" localSheetId="2" hidden="1">#REF!</definedName>
    <definedName name="PSWInput_359" localSheetId="0" hidden="1">#REF!</definedName>
    <definedName name="PSWInput_359" hidden="1">#REF!</definedName>
    <definedName name="PSWInput_36" localSheetId="10" hidden="1">#REF!</definedName>
    <definedName name="PSWInput_36" localSheetId="5" hidden="1">#REF!</definedName>
    <definedName name="PSWInput_36" localSheetId="2" hidden="1">#REF!</definedName>
    <definedName name="PSWInput_36" localSheetId="0" hidden="1">#REF!</definedName>
    <definedName name="PSWInput_36" hidden="1">#REF!</definedName>
    <definedName name="PSWInput_360" localSheetId="10" hidden="1">#REF!</definedName>
    <definedName name="PSWInput_360" localSheetId="5" hidden="1">#REF!</definedName>
    <definedName name="PSWInput_360" localSheetId="2" hidden="1">#REF!</definedName>
    <definedName name="PSWInput_360" localSheetId="0" hidden="1">#REF!</definedName>
    <definedName name="PSWInput_360" hidden="1">#REF!</definedName>
    <definedName name="PSWInput_361" localSheetId="10" hidden="1">#REF!</definedName>
    <definedName name="PSWInput_361" localSheetId="5" hidden="1">#REF!</definedName>
    <definedName name="PSWInput_361" localSheetId="2" hidden="1">#REF!</definedName>
    <definedName name="PSWInput_361" localSheetId="0" hidden="1">#REF!</definedName>
    <definedName name="PSWInput_361" hidden="1">#REF!</definedName>
    <definedName name="PSWInput_362" localSheetId="10" hidden="1">#REF!</definedName>
    <definedName name="PSWInput_362" localSheetId="5" hidden="1">#REF!</definedName>
    <definedName name="PSWInput_362" localSheetId="2" hidden="1">#REF!</definedName>
    <definedName name="PSWInput_362" localSheetId="0" hidden="1">#REF!</definedName>
    <definedName name="PSWInput_362" hidden="1">#REF!</definedName>
    <definedName name="PSWInput_363" localSheetId="10" hidden="1">#REF!</definedName>
    <definedName name="PSWInput_363" localSheetId="5" hidden="1">#REF!</definedName>
    <definedName name="PSWInput_363" localSheetId="2" hidden="1">#REF!</definedName>
    <definedName name="PSWInput_363" localSheetId="0" hidden="1">#REF!</definedName>
    <definedName name="PSWInput_363" hidden="1">#REF!</definedName>
    <definedName name="PSWInput_364" localSheetId="10" hidden="1">#REF!</definedName>
    <definedName name="PSWInput_364" localSheetId="5" hidden="1">#REF!</definedName>
    <definedName name="PSWInput_364" localSheetId="2" hidden="1">#REF!</definedName>
    <definedName name="PSWInput_364" localSheetId="0" hidden="1">#REF!</definedName>
    <definedName name="PSWInput_364" hidden="1">#REF!</definedName>
    <definedName name="PSWInput_365" localSheetId="10" hidden="1">#REF!</definedName>
    <definedName name="PSWInput_365" localSheetId="5" hidden="1">#REF!</definedName>
    <definedName name="PSWInput_365" localSheetId="2" hidden="1">#REF!</definedName>
    <definedName name="PSWInput_365" localSheetId="0" hidden="1">#REF!</definedName>
    <definedName name="PSWInput_365" hidden="1">#REF!</definedName>
    <definedName name="PSWInput_366" localSheetId="10" hidden="1">#REF!</definedName>
    <definedName name="PSWInput_366" localSheetId="5" hidden="1">#REF!</definedName>
    <definedName name="PSWInput_366" localSheetId="2" hidden="1">#REF!</definedName>
    <definedName name="PSWInput_366" localSheetId="0" hidden="1">#REF!</definedName>
    <definedName name="PSWInput_366" hidden="1">#REF!</definedName>
    <definedName name="PSWInput_367" localSheetId="10" hidden="1">#REF!</definedName>
    <definedName name="PSWInput_367" localSheetId="5" hidden="1">#REF!</definedName>
    <definedName name="PSWInput_367" localSheetId="2" hidden="1">#REF!</definedName>
    <definedName name="PSWInput_367" localSheetId="0" hidden="1">#REF!</definedName>
    <definedName name="PSWInput_367" hidden="1">#REF!</definedName>
    <definedName name="PSWInput_368" localSheetId="10" hidden="1">#REF!</definedName>
    <definedName name="PSWInput_368" localSheetId="5" hidden="1">#REF!</definedName>
    <definedName name="PSWInput_368" localSheetId="2" hidden="1">#REF!</definedName>
    <definedName name="PSWInput_368" localSheetId="0" hidden="1">#REF!</definedName>
    <definedName name="PSWInput_368" hidden="1">#REF!</definedName>
    <definedName name="PSWInput_369" localSheetId="10" hidden="1">#REF!</definedName>
    <definedName name="PSWInput_369" localSheetId="5" hidden="1">#REF!</definedName>
    <definedName name="PSWInput_369" localSheetId="2" hidden="1">#REF!</definedName>
    <definedName name="PSWInput_369" localSheetId="0" hidden="1">#REF!</definedName>
    <definedName name="PSWInput_369" hidden="1">#REF!</definedName>
    <definedName name="PSWInput_37" localSheetId="10" hidden="1">#REF!</definedName>
    <definedName name="PSWInput_37" localSheetId="5" hidden="1">#REF!</definedName>
    <definedName name="PSWInput_37" localSheetId="2" hidden="1">#REF!</definedName>
    <definedName name="PSWInput_37" localSheetId="0" hidden="1">#REF!</definedName>
    <definedName name="PSWInput_37" hidden="1">#REF!</definedName>
    <definedName name="PSWInput_370" localSheetId="10" hidden="1">#REF!</definedName>
    <definedName name="PSWInput_370" localSheetId="5" hidden="1">#REF!</definedName>
    <definedName name="PSWInput_370" localSheetId="2" hidden="1">#REF!</definedName>
    <definedName name="PSWInput_370" localSheetId="0" hidden="1">#REF!</definedName>
    <definedName name="PSWInput_370" hidden="1">#REF!</definedName>
    <definedName name="PSWInput_371" localSheetId="10" hidden="1">#REF!</definedName>
    <definedName name="PSWInput_371" localSheetId="5" hidden="1">#REF!</definedName>
    <definedName name="PSWInput_371" localSheetId="2" hidden="1">#REF!</definedName>
    <definedName name="PSWInput_371" localSheetId="0" hidden="1">#REF!</definedName>
    <definedName name="PSWInput_371" hidden="1">#REF!</definedName>
    <definedName name="PSWInput_372" localSheetId="10" hidden="1">#REF!</definedName>
    <definedName name="PSWInput_372" localSheetId="5" hidden="1">#REF!</definedName>
    <definedName name="PSWInput_372" localSheetId="2" hidden="1">#REF!</definedName>
    <definedName name="PSWInput_372" localSheetId="0" hidden="1">#REF!</definedName>
    <definedName name="PSWInput_372" hidden="1">#REF!</definedName>
    <definedName name="PSWInput_373" localSheetId="10" hidden="1">#REF!</definedName>
    <definedName name="PSWInput_373" localSheetId="5" hidden="1">#REF!</definedName>
    <definedName name="PSWInput_373" localSheetId="2" hidden="1">#REF!</definedName>
    <definedName name="PSWInput_373" localSheetId="0" hidden="1">#REF!</definedName>
    <definedName name="PSWInput_373" hidden="1">#REF!</definedName>
    <definedName name="PSWInput_374" localSheetId="10" hidden="1">#REF!</definedName>
    <definedName name="PSWInput_374" localSheetId="5" hidden="1">#REF!</definedName>
    <definedName name="PSWInput_374" localSheetId="2" hidden="1">#REF!</definedName>
    <definedName name="PSWInput_374" localSheetId="0" hidden="1">#REF!</definedName>
    <definedName name="PSWInput_374" hidden="1">#REF!</definedName>
    <definedName name="PSWInput_375" localSheetId="10" hidden="1">#REF!</definedName>
    <definedName name="PSWInput_375" localSheetId="5" hidden="1">#REF!</definedName>
    <definedName name="PSWInput_375" localSheetId="2" hidden="1">#REF!</definedName>
    <definedName name="PSWInput_375" localSheetId="0" hidden="1">#REF!</definedName>
    <definedName name="PSWInput_375" hidden="1">#REF!</definedName>
    <definedName name="PSWInput_376" localSheetId="10" hidden="1">#REF!</definedName>
    <definedName name="PSWInput_376" localSheetId="5" hidden="1">#REF!</definedName>
    <definedName name="PSWInput_376" localSheetId="2" hidden="1">#REF!</definedName>
    <definedName name="PSWInput_376" localSheetId="0" hidden="1">#REF!</definedName>
    <definedName name="PSWInput_376" hidden="1">#REF!</definedName>
    <definedName name="PSWInput_377" localSheetId="10" hidden="1">#REF!</definedName>
    <definedName name="PSWInput_377" localSheetId="5" hidden="1">#REF!</definedName>
    <definedName name="PSWInput_377" localSheetId="2" hidden="1">#REF!</definedName>
    <definedName name="PSWInput_377" localSheetId="0" hidden="1">#REF!</definedName>
    <definedName name="PSWInput_377" hidden="1">#REF!</definedName>
    <definedName name="PSWInput_378" localSheetId="10" hidden="1">#REF!</definedName>
    <definedName name="PSWInput_378" localSheetId="5" hidden="1">#REF!</definedName>
    <definedName name="PSWInput_378" localSheetId="2" hidden="1">#REF!</definedName>
    <definedName name="PSWInput_378" localSheetId="0" hidden="1">#REF!</definedName>
    <definedName name="PSWInput_378" hidden="1">#REF!</definedName>
    <definedName name="PSWInput_379" localSheetId="10" hidden="1">#REF!</definedName>
    <definedName name="PSWInput_379" localSheetId="5" hidden="1">#REF!</definedName>
    <definedName name="PSWInput_379" localSheetId="2" hidden="1">#REF!</definedName>
    <definedName name="PSWInput_379" localSheetId="0" hidden="1">#REF!</definedName>
    <definedName name="PSWInput_379" hidden="1">#REF!</definedName>
    <definedName name="PSWInput_38" localSheetId="10" hidden="1">#REF!</definedName>
    <definedName name="PSWInput_38" localSheetId="5" hidden="1">#REF!</definedName>
    <definedName name="PSWInput_38" localSheetId="2" hidden="1">#REF!</definedName>
    <definedName name="PSWInput_38" localSheetId="0" hidden="1">#REF!</definedName>
    <definedName name="PSWInput_38" hidden="1">#REF!</definedName>
    <definedName name="PSWInput_380" localSheetId="10" hidden="1">#REF!</definedName>
    <definedName name="PSWInput_380" localSheetId="5" hidden="1">#REF!</definedName>
    <definedName name="PSWInput_380" localSheetId="2" hidden="1">#REF!</definedName>
    <definedName name="PSWInput_380" localSheetId="0" hidden="1">#REF!</definedName>
    <definedName name="PSWInput_380" hidden="1">#REF!</definedName>
    <definedName name="PSWInput_381" localSheetId="10" hidden="1">#REF!</definedName>
    <definedName name="PSWInput_381" localSheetId="5" hidden="1">#REF!</definedName>
    <definedName name="PSWInput_381" localSheetId="2" hidden="1">#REF!</definedName>
    <definedName name="PSWInput_381" localSheetId="0" hidden="1">#REF!</definedName>
    <definedName name="PSWInput_381" hidden="1">#REF!</definedName>
    <definedName name="PSWInput_382" localSheetId="10" hidden="1">#REF!</definedName>
    <definedName name="PSWInput_382" localSheetId="5" hidden="1">#REF!</definedName>
    <definedName name="PSWInput_382" localSheetId="2" hidden="1">#REF!</definedName>
    <definedName name="PSWInput_382" localSheetId="0" hidden="1">#REF!</definedName>
    <definedName name="PSWInput_382" hidden="1">#REF!</definedName>
    <definedName name="PSWInput_383" localSheetId="10" hidden="1">#REF!</definedName>
    <definedName name="PSWInput_383" localSheetId="5" hidden="1">#REF!</definedName>
    <definedName name="PSWInput_383" localSheetId="2" hidden="1">#REF!</definedName>
    <definedName name="PSWInput_383" localSheetId="0" hidden="1">#REF!</definedName>
    <definedName name="PSWInput_383" hidden="1">#REF!</definedName>
    <definedName name="PSWInput_384" localSheetId="10" hidden="1">#REF!</definedName>
    <definedName name="PSWInput_384" localSheetId="5" hidden="1">#REF!</definedName>
    <definedName name="PSWInput_384" localSheetId="2" hidden="1">#REF!</definedName>
    <definedName name="PSWInput_384" localSheetId="0" hidden="1">#REF!</definedName>
    <definedName name="PSWInput_384" hidden="1">#REF!</definedName>
    <definedName name="PSWInput_385" localSheetId="10" hidden="1">#REF!</definedName>
    <definedName name="PSWInput_385" localSheetId="5" hidden="1">#REF!</definedName>
    <definedName name="PSWInput_385" localSheetId="2" hidden="1">#REF!</definedName>
    <definedName name="PSWInput_385" localSheetId="0" hidden="1">#REF!</definedName>
    <definedName name="PSWInput_385" hidden="1">#REF!</definedName>
    <definedName name="PSWInput_386" localSheetId="10" hidden="1">#REF!</definedName>
    <definedName name="PSWInput_386" localSheetId="5" hidden="1">#REF!</definedName>
    <definedName name="PSWInput_386" localSheetId="2" hidden="1">#REF!</definedName>
    <definedName name="PSWInput_386" localSheetId="0" hidden="1">#REF!</definedName>
    <definedName name="PSWInput_386" hidden="1">#REF!</definedName>
    <definedName name="PSWInput_387" localSheetId="10" hidden="1">#REF!</definedName>
    <definedName name="PSWInput_387" localSheetId="5" hidden="1">#REF!</definedName>
    <definedName name="PSWInput_387" localSheetId="2" hidden="1">#REF!</definedName>
    <definedName name="PSWInput_387" localSheetId="0" hidden="1">#REF!</definedName>
    <definedName name="PSWInput_387" hidden="1">#REF!</definedName>
    <definedName name="PSWInput_388" localSheetId="10" hidden="1">#REF!</definedName>
    <definedName name="PSWInput_388" localSheetId="5" hidden="1">#REF!</definedName>
    <definedName name="PSWInput_388" localSheetId="2" hidden="1">#REF!</definedName>
    <definedName name="PSWInput_388" localSheetId="0" hidden="1">#REF!</definedName>
    <definedName name="PSWInput_388" hidden="1">#REF!</definedName>
    <definedName name="PSWInput_389" localSheetId="10" hidden="1">#REF!</definedName>
    <definedName name="PSWInput_389" localSheetId="5" hidden="1">#REF!</definedName>
    <definedName name="PSWInput_389" localSheetId="2" hidden="1">#REF!</definedName>
    <definedName name="PSWInput_389" localSheetId="0" hidden="1">#REF!</definedName>
    <definedName name="PSWInput_389" hidden="1">#REF!</definedName>
    <definedName name="PSWInput_39" localSheetId="10" hidden="1">#REF!</definedName>
    <definedName name="PSWInput_39" localSheetId="5" hidden="1">#REF!</definedName>
    <definedName name="PSWInput_39" localSheetId="2" hidden="1">#REF!</definedName>
    <definedName name="PSWInput_39" localSheetId="0" hidden="1">#REF!</definedName>
    <definedName name="PSWInput_39" hidden="1">#REF!</definedName>
    <definedName name="PSWInput_390" localSheetId="10" hidden="1">#REF!</definedName>
    <definedName name="PSWInput_390" localSheetId="5" hidden="1">#REF!</definedName>
    <definedName name="PSWInput_390" localSheetId="2" hidden="1">#REF!</definedName>
    <definedName name="PSWInput_390" localSheetId="0" hidden="1">#REF!</definedName>
    <definedName name="PSWInput_390" hidden="1">#REF!</definedName>
    <definedName name="PSWInput_391" localSheetId="10" hidden="1">#REF!</definedName>
    <definedName name="PSWInput_391" localSheetId="5" hidden="1">#REF!</definedName>
    <definedName name="PSWInput_391" localSheetId="2" hidden="1">#REF!</definedName>
    <definedName name="PSWInput_391" localSheetId="0" hidden="1">#REF!</definedName>
    <definedName name="PSWInput_391" hidden="1">#REF!</definedName>
    <definedName name="PSWInput_392" localSheetId="10" hidden="1">#REF!</definedName>
    <definedName name="PSWInput_392" localSheetId="5" hidden="1">#REF!</definedName>
    <definedName name="PSWInput_392" localSheetId="2" hidden="1">#REF!</definedName>
    <definedName name="PSWInput_392" localSheetId="0" hidden="1">#REF!</definedName>
    <definedName name="PSWInput_392" hidden="1">#REF!</definedName>
    <definedName name="PSWInput_393" localSheetId="10" hidden="1">#REF!</definedName>
    <definedName name="PSWInput_393" localSheetId="5" hidden="1">#REF!</definedName>
    <definedName name="PSWInput_393" localSheetId="2" hidden="1">#REF!</definedName>
    <definedName name="PSWInput_393" localSheetId="0" hidden="1">#REF!</definedName>
    <definedName name="PSWInput_393" hidden="1">#REF!</definedName>
    <definedName name="PSWInput_394" localSheetId="10" hidden="1">#REF!</definedName>
    <definedName name="PSWInput_394" localSheetId="5" hidden="1">#REF!</definedName>
    <definedName name="PSWInput_394" localSheetId="2" hidden="1">#REF!</definedName>
    <definedName name="PSWInput_394" localSheetId="0" hidden="1">#REF!</definedName>
    <definedName name="PSWInput_394" hidden="1">#REF!</definedName>
    <definedName name="PSWInput_395" localSheetId="10" hidden="1">#REF!</definedName>
    <definedName name="PSWInput_395" localSheetId="5" hidden="1">#REF!</definedName>
    <definedName name="PSWInput_395" localSheetId="2" hidden="1">#REF!</definedName>
    <definedName name="PSWInput_395" localSheetId="0" hidden="1">#REF!</definedName>
    <definedName name="PSWInput_395" hidden="1">#REF!</definedName>
    <definedName name="PSWInput_396" localSheetId="10" hidden="1">#REF!</definedName>
    <definedName name="PSWInput_396" localSheetId="5" hidden="1">#REF!</definedName>
    <definedName name="PSWInput_396" localSheetId="2" hidden="1">#REF!</definedName>
    <definedName name="PSWInput_396" localSheetId="0" hidden="1">#REF!</definedName>
    <definedName name="PSWInput_396" hidden="1">#REF!</definedName>
    <definedName name="PSWInput_397" localSheetId="10" hidden="1">#REF!</definedName>
    <definedName name="PSWInput_397" localSheetId="5" hidden="1">#REF!</definedName>
    <definedName name="PSWInput_397" localSheetId="2" hidden="1">#REF!</definedName>
    <definedName name="PSWInput_397" localSheetId="0" hidden="1">#REF!</definedName>
    <definedName name="PSWInput_397" hidden="1">#REF!</definedName>
    <definedName name="PSWInput_398" localSheetId="10" hidden="1">#REF!</definedName>
    <definedName name="PSWInput_398" localSheetId="5" hidden="1">#REF!</definedName>
    <definedName name="PSWInput_398" localSheetId="2" hidden="1">#REF!</definedName>
    <definedName name="PSWInput_398" localSheetId="0" hidden="1">#REF!</definedName>
    <definedName name="PSWInput_398" hidden="1">#REF!</definedName>
    <definedName name="PSWInput_399" localSheetId="10" hidden="1">#REF!</definedName>
    <definedName name="PSWInput_399" localSheetId="5" hidden="1">#REF!</definedName>
    <definedName name="PSWInput_399" localSheetId="2" hidden="1">#REF!</definedName>
    <definedName name="PSWInput_399" localSheetId="0" hidden="1">#REF!</definedName>
    <definedName name="PSWInput_399" hidden="1">#REF!</definedName>
    <definedName name="PSWInput_4" localSheetId="10" hidden="1">#REF!</definedName>
    <definedName name="PSWInput_4" localSheetId="5" hidden="1">#REF!</definedName>
    <definedName name="PSWInput_4" localSheetId="2" hidden="1">#REF!</definedName>
    <definedName name="PSWInput_4" localSheetId="0" hidden="1">#REF!</definedName>
    <definedName name="PSWInput_4" hidden="1">#REF!</definedName>
    <definedName name="PSWInput_40" localSheetId="10" hidden="1">#REF!</definedName>
    <definedName name="PSWInput_40" localSheetId="5" hidden="1">#REF!</definedName>
    <definedName name="PSWInput_40" localSheetId="2" hidden="1">#REF!</definedName>
    <definedName name="PSWInput_40" localSheetId="0" hidden="1">#REF!</definedName>
    <definedName name="PSWInput_40" hidden="1">#REF!</definedName>
    <definedName name="PSWInput_400" localSheetId="10" hidden="1">#REF!</definedName>
    <definedName name="PSWInput_400" localSheetId="5" hidden="1">#REF!</definedName>
    <definedName name="PSWInput_400" localSheetId="2" hidden="1">#REF!</definedName>
    <definedName name="PSWInput_400" localSheetId="0" hidden="1">#REF!</definedName>
    <definedName name="PSWInput_400" hidden="1">#REF!</definedName>
    <definedName name="PSWInput_401" localSheetId="10" hidden="1">#REF!</definedName>
    <definedName name="PSWInput_401" localSheetId="5" hidden="1">#REF!</definedName>
    <definedName name="PSWInput_401" localSheetId="2" hidden="1">#REF!</definedName>
    <definedName name="PSWInput_401" localSheetId="0" hidden="1">#REF!</definedName>
    <definedName name="PSWInput_401" hidden="1">#REF!</definedName>
    <definedName name="PSWInput_402" localSheetId="10" hidden="1">#REF!</definedName>
    <definedName name="PSWInput_402" localSheetId="5" hidden="1">#REF!</definedName>
    <definedName name="PSWInput_402" localSheetId="2" hidden="1">#REF!</definedName>
    <definedName name="PSWInput_402" localSheetId="0" hidden="1">#REF!</definedName>
    <definedName name="PSWInput_402" hidden="1">#REF!</definedName>
    <definedName name="PSWInput_403" localSheetId="10" hidden="1">#REF!</definedName>
    <definedName name="PSWInput_403" localSheetId="5" hidden="1">#REF!</definedName>
    <definedName name="PSWInput_403" localSheetId="2" hidden="1">#REF!</definedName>
    <definedName name="PSWInput_403" localSheetId="0" hidden="1">#REF!</definedName>
    <definedName name="PSWInput_403" hidden="1">#REF!</definedName>
    <definedName name="PSWInput_404" localSheetId="10" hidden="1">#REF!</definedName>
    <definedName name="PSWInput_404" localSheetId="5" hidden="1">#REF!</definedName>
    <definedName name="PSWInput_404" localSheetId="2" hidden="1">#REF!</definedName>
    <definedName name="PSWInput_404" localSheetId="0" hidden="1">#REF!</definedName>
    <definedName name="PSWInput_404" hidden="1">#REF!</definedName>
    <definedName name="PSWInput_405" localSheetId="10" hidden="1">#REF!</definedName>
    <definedName name="PSWInput_405" localSheetId="5" hidden="1">#REF!</definedName>
    <definedName name="PSWInput_405" localSheetId="2" hidden="1">#REF!</definedName>
    <definedName name="PSWInput_405" localSheetId="0" hidden="1">#REF!</definedName>
    <definedName name="PSWInput_405" hidden="1">#REF!</definedName>
    <definedName name="PSWInput_406" localSheetId="10" hidden="1">#REF!</definedName>
    <definedName name="PSWInput_406" localSheetId="5" hidden="1">#REF!</definedName>
    <definedName name="PSWInput_406" localSheetId="2" hidden="1">#REF!</definedName>
    <definedName name="PSWInput_406" localSheetId="0" hidden="1">#REF!</definedName>
    <definedName name="PSWInput_406" hidden="1">#REF!</definedName>
    <definedName name="PSWInput_407" localSheetId="10" hidden="1">#REF!</definedName>
    <definedName name="PSWInput_407" localSheetId="5" hidden="1">#REF!</definedName>
    <definedName name="PSWInput_407" localSheetId="2" hidden="1">#REF!</definedName>
    <definedName name="PSWInput_407" localSheetId="0" hidden="1">#REF!</definedName>
    <definedName name="PSWInput_407" hidden="1">#REF!</definedName>
    <definedName name="PSWInput_408" localSheetId="10" hidden="1">#REF!</definedName>
    <definedName name="PSWInput_408" localSheetId="5" hidden="1">#REF!</definedName>
    <definedName name="PSWInput_408" localSheetId="2" hidden="1">#REF!</definedName>
    <definedName name="PSWInput_408" localSheetId="0" hidden="1">#REF!</definedName>
    <definedName name="PSWInput_408" hidden="1">#REF!</definedName>
    <definedName name="PSWInput_409" localSheetId="10" hidden="1">#REF!</definedName>
    <definedName name="PSWInput_409" localSheetId="5" hidden="1">#REF!</definedName>
    <definedName name="PSWInput_409" localSheetId="2" hidden="1">#REF!</definedName>
    <definedName name="PSWInput_409" localSheetId="0" hidden="1">#REF!</definedName>
    <definedName name="PSWInput_409" hidden="1">#REF!</definedName>
    <definedName name="PSWInput_41" localSheetId="10" hidden="1">#REF!</definedName>
    <definedName name="PSWInput_41" localSheetId="5" hidden="1">#REF!</definedName>
    <definedName name="PSWInput_41" localSheetId="2" hidden="1">#REF!</definedName>
    <definedName name="PSWInput_41" localSheetId="0" hidden="1">#REF!</definedName>
    <definedName name="PSWInput_41" hidden="1">#REF!</definedName>
    <definedName name="PSWInput_410" localSheetId="10" hidden="1">#REF!</definedName>
    <definedName name="PSWInput_410" localSheetId="5" hidden="1">#REF!</definedName>
    <definedName name="PSWInput_410" localSheetId="2" hidden="1">#REF!</definedName>
    <definedName name="PSWInput_410" localSheetId="0" hidden="1">#REF!</definedName>
    <definedName name="PSWInput_410" hidden="1">#REF!</definedName>
    <definedName name="PSWInput_411" localSheetId="10" hidden="1">#REF!</definedName>
    <definedName name="PSWInput_411" localSheetId="5" hidden="1">#REF!</definedName>
    <definedName name="PSWInput_411" localSheetId="2" hidden="1">#REF!</definedName>
    <definedName name="PSWInput_411" localSheetId="0" hidden="1">#REF!</definedName>
    <definedName name="PSWInput_411" hidden="1">#REF!</definedName>
    <definedName name="PSWInput_412" localSheetId="10" hidden="1">#REF!</definedName>
    <definedName name="PSWInput_412" localSheetId="5" hidden="1">#REF!</definedName>
    <definedName name="PSWInput_412" localSheetId="2" hidden="1">#REF!</definedName>
    <definedName name="PSWInput_412" localSheetId="0" hidden="1">#REF!</definedName>
    <definedName name="PSWInput_412" hidden="1">#REF!</definedName>
    <definedName name="PSWInput_413" localSheetId="10" hidden="1">#REF!</definedName>
    <definedName name="PSWInput_413" localSheetId="5" hidden="1">#REF!</definedName>
    <definedName name="PSWInput_413" localSheetId="2" hidden="1">#REF!</definedName>
    <definedName name="PSWInput_413" localSheetId="0" hidden="1">#REF!</definedName>
    <definedName name="PSWInput_413" hidden="1">#REF!</definedName>
    <definedName name="PSWInput_414" localSheetId="10" hidden="1">#REF!</definedName>
    <definedName name="PSWInput_414" localSheetId="5" hidden="1">#REF!</definedName>
    <definedName name="PSWInput_414" localSheetId="2" hidden="1">#REF!</definedName>
    <definedName name="PSWInput_414" localSheetId="0" hidden="1">#REF!</definedName>
    <definedName name="PSWInput_414" hidden="1">#REF!</definedName>
    <definedName name="PSWInput_415" localSheetId="10" hidden="1">#REF!</definedName>
    <definedName name="PSWInput_415" localSheetId="5" hidden="1">#REF!</definedName>
    <definedName name="PSWInput_415" localSheetId="2" hidden="1">#REF!</definedName>
    <definedName name="PSWInput_415" localSheetId="0" hidden="1">#REF!</definedName>
    <definedName name="PSWInput_415" hidden="1">#REF!</definedName>
    <definedName name="PSWInput_416" localSheetId="10" hidden="1">#REF!</definedName>
    <definedName name="PSWInput_416" localSheetId="5" hidden="1">#REF!</definedName>
    <definedName name="PSWInput_416" localSheetId="2" hidden="1">#REF!</definedName>
    <definedName name="PSWInput_416" localSheetId="0" hidden="1">#REF!</definedName>
    <definedName name="PSWInput_416" hidden="1">#REF!</definedName>
    <definedName name="PSWInput_417" localSheetId="10" hidden="1">#REF!</definedName>
    <definedName name="PSWInput_417" localSheetId="5" hidden="1">#REF!</definedName>
    <definedName name="PSWInput_417" localSheetId="2" hidden="1">#REF!</definedName>
    <definedName name="PSWInput_417" localSheetId="0" hidden="1">#REF!</definedName>
    <definedName name="PSWInput_417" hidden="1">#REF!</definedName>
    <definedName name="PSWInput_418" localSheetId="10" hidden="1">#REF!</definedName>
    <definedName name="PSWInput_418" localSheetId="5" hidden="1">#REF!</definedName>
    <definedName name="PSWInput_418" localSheetId="2" hidden="1">#REF!</definedName>
    <definedName name="PSWInput_418" localSheetId="0" hidden="1">#REF!</definedName>
    <definedName name="PSWInput_418" hidden="1">#REF!</definedName>
    <definedName name="PSWInput_419" localSheetId="10" hidden="1">#REF!</definedName>
    <definedName name="PSWInput_419" localSheetId="5" hidden="1">#REF!</definedName>
    <definedName name="PSWInput_419" localSheetId="2" hidden="1">#REF!</definedName>
    <definedName name="PSWInput_419" localSheetId="0" hidden="1">#REF!</definedName>
    <definedName name="PSWInput_419" hidden="1">#REF!</definedName>
    <definedName name="PSWInput_42" localSheetId="10" hidden="1">#REF!</definedName>
    <definedName name="PSWInput_42" localSheetId="5" hidden="1">#REF!</definedName>
    <definedName name="PSWInput_42" localSheetId="2" hidden="1">#REF!</definedName>
    <definedName name="PSWInput_42" localSheetId="0" hidden="1">#REF!</definedName>
    <definedName name="PSWInput_42" hidden="1">#REF!</definedName>
    <definedName name="PSWInput_420" localSheetId="10" hidden="1">#REF!</definedName>
    <definedName name="PSWInput_420" localSheetId="5" hidden="1">#REF!</definedName>
    <definedName name="PSWInput_420" localSheetId="2" hidden="1">#REF!</definedName>
    <definedName name="PSWInput_420" localSheetId="0" hidden="1">#REF!</definedName>
    <definedName name="PSWInput_420" hidden="1">#REF!</definedName>
    <definedName name="PSWInput_421" localSheetId="10" hidden="1">#REF!</definedName>
    <definedName name="PSWInput_421" localSheetId="5" hidden="1">#REF!</definedName>
    <definedName name="PSWInput_421" localSheetId="2" hidden="1">#REF!</definedName>
    <definedName name="PSWInput_421" localSheetId="0" hidden="1">#REF!</definedName>
    <definedName name="PSWInput_421" hidden="1">#REF!</definedName>
    <definedName name="PSWInput_422" localSheetId="10" hidden="1">#REF!</definedName>
    <definedName name="PSWInput_422" localSheetId="5" hidden="1">#REF!</definedName>
    <definedName name="PSWInput_422" localSheetId="2" hidden="1">#REF!</definedName>
    <definedName name="PSWInput_422" localSheetId="0" hidden="1">#REF!</definedName>
    <definedName name="PSWInput_422" hidden="1">#REF!</definedName>
    <definedName name="PSWInput_423" localSheetId="10" hidden="1">#REF!</definedName>
    <definedName name="PSWInput_423" localSheetId="5" hidden="1">#REF!</definedName>
    <definedName name="PSWInput_423" localSheetId="2" hidden="1">#REF!</definedName>
    <definedName name="PSWInput_423" localSheetId="0" hidden="1">#REF!</definedName>
    <definedName name="PSWInput_423" hidden="1">#REF!</definedName>
    <definedName name="PSWInput_424" localSheetId="10" hidden="1">#REF!</definedName>
    <definedName name="PSWInput_424" localSheetId="5" hidden="1">#REF!</definedName>
    <definedName name="PSWInput_424" localSheetId="2" hidden="1">#REF!</definedName>
    <definedName name="PSWInput_424" localSheetId="0" hidden="1">#REF!</definedName>
    <definedName name="PSWInput_424" hidden="1">#REF!</definedName>
    <definedName name="PSWInput_425" localSheetId="10" hidden="1">#REF!</definedName>
    <definedName name="PSWInput_425" localSheetId="5" hidden="1">#REF!</definedName>
    <definedName name="PSWInput_425" localSheetId="2" hidden="1">#REF!</definedName>
    <definedName name="PSWInput_425" localSheetId="0" hidden="1">#REF!</definedName>
    <definedName name="PSWInput_425" hidden="1">#REF!</definedName>
    <definedName name="PSWInput_426" localSheetId="10" hidden="1">#REF!</definedName>
    <definedName name="PSWInput_426" localSheetId="5" hidden="1">#REF!</definedName>
    <definedName name="PSWInput_426" localSheetId="2" hidden="1">#REF!</definedName>
    <definedName name="PSWInput_426" localSheetId="0" hidden="1">#REF!</definedName>
    <definedName name="PSWInput_426" hidden="1">#REF!</definedName>
    <definedName name="PSWInput_427" localSheetId="10" hidden="1">#REF!</definedName>
    <definedName name="PSWInput_427" localSheetId="5" hidden="1">#REF!</definedName>
    <definedName name="PSWInput_427" localSheetId="2" hidden="1">#REF!</definedName>
    <definedName name="PSWInput_427" localSheetId="0" hidden="1">#REF!</definedName>
    <definedName name="PSWInput_427" hidden="1">#REF!</definedName>
    <definedName name="PSWInput_428" localSheetId="10" hidden="1">#REF!</definedName>
    <definedName name="PSWInput_428" localSheetId="5" hidden="1">#REF!</definedName>
    <definedName name="PSWInput_428" localSheetId="2" hidden="1">#REF!</definedName>
    <definedName name="PSWInput_428" localSheetId="0" hidden="1">#REF!</definedName>
    <definedName name="PSWInput_428" hidden="1">#REF!</definedName>
    <definedName name="PSWInput_429" localSheetId="10" hidden="1">#REF!</definedName>
    <definedName name="PSWInput_429" localSheetId="5" hidden="1">#REF!</definedName>
    <definedName name="PSWInput_429" localSheetId="2" hidden="1">#REF!</definedName>
    <definedName name="PSWInput_429" localSheetId="0" hidden="1">#REF!</definedName>
    <definedName name="PSWInput_429" hidden="1">#REF!</definedName>
    <definedName name="PSWInput_43" localSheetId="10" hidden="1">#REF!</definedName>
    <definedName name="PSWInput_43" localSheetId="5" hidden="1">#REF!</definedName>
    <definedName name="PSWInput_43" localSheetId="2" hidden="1">#REF!</definedName>
    <definedName name="PSWInput_43" localSheetId="0" hidden="1">#REF!</definedName>
    <definedName name="PSWInput_43" hidden="1">#REF!</definedName>
    <definedName name="PSWInput_430" localSheetId="10" hidden="1">#REF!</definedName>
    <definedName name="PSWInput_430" localSheetId="5" hidden="1">#REF!</definedName>
    <definedName name="PSWInput_430" localSheetId="2" hidden="1">#REF!</definedName>
    <definedName name="PSWInput_430" localSheetId="0" hidden="1">#REF!</definedName>
    <definedName name="PSWInput_430" hidden="1">#REF!</definedName>
    <definedName name="PSWInput_431" localSheetId="10" hidden="1">#REF!</definedName>
    <definedName name="PSWInput_431" localSheetId="5" hidden="1">#REF!</definedName>
    <definedName name="PSWInput_431" localSheetId="2" hidden="1">#REF!</definedName>
    <definedName name="PSWInput_431" localSheetId="0" hidden="1">#REF!</definedName>
    <definedName name="PSWInput_431" hidden="1">#REF!</definedName>
    <definedName name="PSWInput_432" localSheetId="10" hidden="1">#REF!</definedName>
    <definedName name="PSWInput_432" localSheetId="5" hidden="1">#REF!</definedName>
    <definedName name="PSWInput_432" localSheetId="2" hidden="1">#REF!</definedName>
    <definedName name="PSWInput_432" localSheetId="0" hidden="1">#REF!</definedName>
    <definedName name="PSWInput_432" hidden="1">#REF!</definedName>
    <definedName name="PSWInput_433" localSheetId="10" hidden="1">#REF!</definedName>
    <definedName name="PSWInput_433" localSheetId="5" hidden="1">#REF!</definedName>
    <definedName name="PSWInput_433" localSheetId="2" hidden="1">#REF!</definedName>
    <definedName name="PSWInput_433" localSheetId="0" hidden="1">#REF!</definedName>
    <definedName name="PSWInput_433" hidden="1">#REF!</definedName>
    <definedName name="PSWInput_434" localSheetId="10" hidden="1">#REF!</definedName>
    <definedName name="PSWInput_434" localSheetId="5" hidden="1">#REF!</definedName>
    <definedName name="PSWInput_434" localSheetId="2" hidden="1">#REF!</definedName>
    <definedName name="PSWInput_434" localSheetId="0" hidden="1">#REF!</definedName>
    <definedName name="PSWInput_434" hidden="1">#REF!</definedName>
    <definedName name="PSWInput_435" localSheetId="10" hidden="1">#REF!</definedName>
    <definedName name="PSWInput_435" localSheetId="5" hidden="1">#REF!</definedName>
    <definedName name="PSWInput_435" localSheetId="2" hidden="1">#REF!</definedName>
    <definedName name="PSWInput_435" localSheetId="0" hidden="1">#REF!</definedName>
    <definedName name="PSWInput_435" hidden="1">#REF!</definedName>
    <definedName name="PSWInput_436" localSheetId="10" hidden="1">#REF!</definedName>
    <definedName name="PSWInput_436" localSheetId="5" hidden="1">#REF!</definedName>
    <definedName name="PSWInput_436" localSheetId="2" hidden="1">#REF!</definedName>
    <definedName name="PSWInput_436" localSheetId="0" hidden="1">#REF!</definedName>
    <definedName name="PSWInput_436" hidden="1">#REF!</definedName>
    <definedName name="PSWInput_437" localSheetId="10" hidden="1">#REF!</definedName>
    <definedName name="PSWInput_437" localSheetId="5" hidden="1">#REF!</definedName>
    <definedName name="PSWInput_437" localSheetId="2" hidden="1">#REF!</definedName>
    <definedName name="PSWInput_437" localSheetId="0" hidden="1">#REF!</definedName>
    <definedName name="PSWInput_437" hidden="1">#REF!</definedName>
    <definedName name="PSWInput_438" localSheetId="10" hidden="1">#REF!</definedName>
    <definedName name="PSWInput_438" localSheetId="5" hidden="1">#REF!</definedName>
    <definedName name="PSWInput_438" localSheetId="2" hidden="1">#REF!</definedName>
    <definedName name="PSWInput_438" localSheetId="0" hidden="1">#REF!</definedName>
    <definedName name="PSWInput_438" hidden="1">#REF!</definedName>
    <definedName name="PSWInput_439" localSheetId="10" hidden="1">#REF!</definedName>
    <definedName name="PSWInput_439" localSheetId="5" hidden="1">#REF!</definedName>
    <definedName name="PSWInput_439" localSheetId="2" hidden="1">#REF!</definedName>
    <definedName name="PSWInput_439" localSheetId="0" hidden="1">#REF!</definedName>
    <definedName name="PSWInput_439" hidden="1">#REF!</definedName>
    <definedName name="PSWInput_44" localSheetId="10" hidden="1">#REF!</definedName>
    <definedName name="PSWInput_44" localSheetId="5" hidden="1">#REF!</definedName>
    <definedName name="PSWInput_44" localSheetId="2" hidden="1">#REF!</definedName>
    <definedName name="PSWInput_44" localSheetId="0" hidden="1">#REF!</definedName>
    <definedName name="PSWInput_44" hidden="1">#REF!</definedName>
    <definedName name="PSWInput_440" localSheetId="10" hidden="1">#REF!</definedName>
    <definedName name="PSWInput_440" localSheetId="5" hidden="1">#REF!</definedName>
    <definedName name="PSWInput_440" localSheetId="2" hidden="1">#REF!</definedName>
    <definedName name="PSWInput_440" localSheetId="0" hidden="1">#REF!</definedName>
    <definedName name="PSWInput_440" hidden="1">#REF!</definedName>
    <definedName name="PSWInput_441" localSheetId="10" hidden="1">#REF!</definedName>
    <definedName name="PSWInput_441" localSheetId="5" hidden="1">#REF!</definedName>
    <definedName name="PSWInput_441" localSheetId="2" hidden="1">#REF!</definedName>
    <definedName name="PSWInput_441" localSheetId="0" hidden="1">#REF!</definedName>
    <definedName name="PSWInput_441" hidden="1">#REF!</definedName>
    <definedName name="PSWInput_442" localSheetId="10" hidden="1">#REF!</definedName>
    <definedName name="PSWInput_442" localSheetId="5" hidden="1">#REF!</definedName>
    <definedName name="PSWInput_442" localSheetId="2" hidden="1">#REF!</definedName>
    <definedName name="PSWInput_442" localSheetId="0" hidden="1">#REF!</definedName>
    <definedName name="PSWInput_442" hidden="1">#REF!</definedName>
    <definedName name="PSWInput_443" localSheetId="10" hidden="1">#REF!</definedName>
    <definedName name="PSWInput_443" localSheetId="5" hidden="1">#REF!</definedName>
    <definedName name="PSWInput_443" localSheetId="2" hidden="1">#REF!</definedName>
    <definedName name="PSWInput_443" localSheetId="0" hidden="1">#REF!</definedName>
    <definedName name="PSWInput_443" hidden="1">#REF!</definedName>
    <definedName name="PSWInput_444" localSheetId="10" hidden="1">#REF!</definedName>
    <definedName name="PSWInput_444" localSheetId="5" hidden="1">#REF!</definedName>
    <definedName name="PSWInput_444" localSheetId="2" hidden="1">#REF!</definedName>
    <definedName name="PSWInput_444" localSheetId="0" hidden="1">#REF!</definedName>
    <definedName name="PSWInput_444" hidden="1">#REF!</definedName>
    <definedName name="PSWInput_445" localSheetId="10" hidden="1">#REF!</definedName>
    <definedName name="PSWInput_445" localSheetId="5" hidden="1">#REF!</definedName>
    <definedName name="PSWInput_445" localSheetId="2" hidden="1">#REF!</definedName>
    <definedName name="PSWInput_445" localSheetId="0" hidden="1">#REF!</definedName>
    <definedName name="PSWInput_445" hidden="1">#REF!</definedName>
    <definedName name="PSWInput_446" localSheetId="10" hidden="1">#REF!</definedName>
    <definedName name="PSWInput_446" localSheetId="5" hidden="1">#REF!</definedName>
    <definedName name="PSWInput_446" localSheetId="2" hidden="1">#REF!</definedName>
    <definedName name="PSWInput_446" localSheetId="0" hidden="1">#REF!</definedName>
    <definedName name="PSWInput_446" hidden="1">#REF!</definedName>
    <definedName name="PSWInput_447" localSheetId="10" hidden="1">#REF!</definedName>
    <definedName name="PSWInput_447" localSheetId="5" hidden="1">#REF!</definedName>
    <definedName name="PSWInput_447" localSheetId="2" hidden="1">#REF!</definedName>
    <definedName name="PSWInput_447" localSheetId="0" hidden="1">#REF!</definedName>
    <definedName name="PSWInput_447" hidden="1">#REF!</definedName>
    <definedName name="PSWInput_448" localSheetId="10" hidden="1">#REF!</definedName>
    <definedName name="PSWInput_448" localSheetId="5" hidden="1">#REF!</definedName>
    <definedName name="PSWInput_448" localSheetId="2" hidden="1">#REF!</definedName>
    <definedName name="PSWInput_448" localSheetId="0" hidden="1">#REF!</definedName>
    <definedName name="PSWInput_448" hidden="1">#REF!</definedName>
    <definedName name="PSWInput_449" localSheetId="10" hidden="1">#REF!</definedName>
    <definedName name="PSWInput_449" localSheetId="5" hidden="1">#REF!</definedName>
    <definedName name="PSWInput_449" localSheetId="2" hidden="1">#REF!</definedName>
    <definedName name="PSWInput_449" localSheetId="0" hidden="1">#REF!</definedName>
    <definedName name="PSWInput_449" hidden="1">#REF!</definedName>
    <definedName name="PSWInput_45" localSheetId="10" hidden="1">#REF!</definedName>
    <definedName name="PSWInput_45" localSheetId="5" hidden="1">#REF!</definedName>
    <definedName name="PSWInput_45" localSheetId="2" hidden="1">#REF!</definedName>
    <definedName name="PSWInput_45" localSheetId="0" hidden="1">#REF!</definedName>
    <definedName name="PSWInput_45" hidden="1">#REF!</definedName>
    <definedName name="PSWInput_450" localSheetId="10" hidden="1">#REF!</definedName>
    <definedName name="PSWInput_450" localSheetId="5" hidden="1">#REF!</definedName>
    <definedName name="PSWInput_450" localSheetId="2" hidden="1">#REF!</definedName>
    <definedName name="PSWInput_450" localSheetId="0" hidden="1">#REF!</definedName>
    <definedName name="PSWInput_450" hidden="1">#REF!</definedName>
    <definedName name="PSWInput_451" localSheetId="10" hidden="1">#REF!</definedName>
    <definedName name="PSWInput_451" localSheetId="5" hidden="1">#REF!</definedName>
    <definedName name="PSWInput_451" localSheetId="2" hidden="1">#REF!</definedName>
    <definedName name="PSWInput_451" localSheetId="0" hidden="1">#REF!</definedName>
    <definedName name="PSWInput_451" hidden="1">#REF!</definedName>
    <definedName name="PSWInput_452" localSheetId="10" hidden="1">#REF!</definedName>
    <definedName name="PSWInput_452" localSheetId="5" hidden="1">#REF!</definedName>
    <definedName name="PSWInput_452" localSheetId="2" hidden="1">#REF!</definedName>
    <definedName name="PSWInput_452" localSheetId="0" hidden="1">#REF!</definedName>
    <definedName name="PSWInput_452" hidden="1">#REF!</definedName>
    <definedName name="PSWInput_453" localSheetId="10" hidden="1">#REF!</definedName>
    <definedName name="PSWInput_453" localSheetId="5" hidden="1">#REF!</definedName>
    <definedName name="PSWInput_453" localSheetId="2" hidden="1">#REF!</definedName>
    <definedName name="PSWInput_453" localSheetId="0" hidden="1">#REF!</definedName>
    <definedName name="PSWInput_453" hidden="1">#REF!</definedName>
    <definedName name="PSWInput_454" localSheetId="10" hidden="1">#REF!</definedName>
    <definedName name="PSWInput_454" localSheetId="5" hidden="1">#REF!</definedName>
    <definedName name="PSWInput_454" localSheetId="2" hidden="1">#REF!</definedName>
    <definedName name="PSWInput_454" localSheetId="0" hidden="1">#REF!</definedName>
    <definedName name="PSWInput_454" hidden="1">#REF!</definedName>
    <definedName name="PSWInput_455" localSheetId="10" hidden="1">#REF!</definedName>
    <definedName name="PSWInput_455" localSheetId="5" hidden="1">#REF!</definedName>
    <definedName name="PSWInput_455" localSheetId="2" hidden="1">#REF!</definedName>
    <definedName name="PSWInput_455" localSheetId="0" hidden="1">#REF!</definedName>
    <definedName name="PSWInput_455" hidden="1">#REF!</definedName>
    <definedName name="PSWInput_456" localSheetId="10" hidden="1">#REF!</definedName>
    <definedName name="PSWInput_456" localSheetId="5" hidden="1">#REF!</definedName>
    <definedName name="PSWInput_456" localSheetId="2" hidden="1">#REF!</definedName>
    <definedName name="PSWInput_456" localSheetId="0" hidden="1">#REF!</definedName>
    <definedName name="PSWInput_456" hidden="1">#REF!</definedName>
    <definedName name="PSWInput_457" localSheetId="10" hidden="1">#REF!</definedName>
    <definedName name="PSWInput_457" localSheetId="5" hidden="1">#REF!</definedName>
    <definedName name="PSWInput_457" localSheetId="2" hidden="1">#REF!</definedName>
    <definedName name="PSWInput_457" localSheetId="0" hidden="1">#REF!</definedName>
    <definedName name="PSWInput_457" hidden="1">#REF!</definedName>
    <definedName name="PSWInput_458" localSheetId="10" hidden="1">#REF!</definedName>
    <definedName name="PSWInput_458" localSheetId="5" hidden="1">#REF!</definedName>
    <definedName name="PSWInput_458" localSheetId="2" hidden="1">#REF!</definedName>
    <definedName name="PSWInput_458" localSheetId="0" hidden="1">#REF!</definedName>
    <definedName name="PSWInput_458" hidden="1">#REF!</definedName>
    <definedName name="PSWInput_459" localSheetId="10" hidden="1">#REF!</definedName>
    <definedName name="PSWInput_459" localSheetId="5" hidden="1">#REF!</definedName>
    <definedName name="PSWInput_459" localSheetId="2" hidden="1">#REF!</definedName>
    <definedName name="PSWInput_459" localSheetId="0" hidden="1">#REF!</definedName>
    <definedName name="PSWInput_459" hidden="1">#REF!</definedName>
    <definedName name="PSWInput_46" localSheetId="10" hidden="1">#REF!</definedName>
    <definedName name="PSWInput_46" localSheetId="5" hidden="1">#REF!</definedName>
    <definedName name="PSWInput_46" localSheetId="2" hidden="1">#REF!</definedName>
    <definedName name="PSWInput_46" localSheetId="0" hidden="1">#REF!</definedName>
    <definedName name="PSWInput_46" hidden="1">#REF!</definedName>
    <definedName name="PSWInput_460" localSheetId="10" hidden="1">#REF!</definedName>
    <definedName name="PSWInput_460" localSheetId="5" hidden="1">#REF!</definedName>
    <definedName name="PSWInput_460" localSheetId="2" hidden="1">#REF!</definedName>
    <definedName name="PSWInput_460" localSheetId="0" hidden="1">#REF!</definedName>
    <definedName name="PSWInput_460" hidden="1">#REF!</definedName>
    <definedName name="PSWInput_461" localSheetId="10" hidden="1">#REF!</definedName>
    <definedName name="PSWInput_461" localSheetId="5" hidden="1">#REF!</definedName>
    <definedName name="PSWInput_461" localSheetId="2" hidden="1">#REF!</definedName>
    <definedName name="PSWInput_461" localSheetId="0" hidden="1">#REF!</definedName>
    <definedName name="PSWInput_461" hidden="1">#REF!</definedName>
    <definedName name="PSWInput_462" localSheetId="10" hidden="1">#REF!</definedName>
    <definedName name="PSWInput_462" localSheetId="5" hidden="1">#REF!</definedName>
    <definedName name="PSWInput_462" localSheetId="2" hidden="1">#REF!</definedName>
    <definedName name="PSWInput_462" localSheetId="0" hidden="1">#REF!</definedName>
    <definedName name="PSWInput_462" hidden="1">#REF!</definedName>
    <definedName name="PSWInput_463" localSheetId="10" hidden="1">#REF!</definedName>
    <definedName name="PSWInput_463" localSheetId="5" hidden="1">#REF!</definedName>
    <definedName name="PSWInput_463" localSheetId="2" hidden="1">#REF!</definedName>
    <definedName name="PSWInput_463" localSheetId="0" hidden="1">#REF!</definedName>
    <definedName name="PSWInput_463" hidden="1">#REF!</definedName>
    <definedName name="PSWInput_464" localSheetId="10" hidden="1">#REF!</definedName>
    <definedName name="PSWInput_464" localSheetId="5" hidden="1">#REF!</definedName>
    <definedName name="PSWInput_464" localSheetId="2" hidden="1">#REF!</definedName>
    <definedName name="PSWInput_464" localSheetId="0" hidden="1">#REF!</definedName>
    <definedName name="PSWInput_464" hidden="1">#REF!</definedName>
    <definedName name="PSWInput_465" localSheetId="10" hidden="1">#REF!</definedName>
    <definedName name="PSWInput_465" localSheetId="5" hidden="1">#REF!</definedName>
    <definedName name="PSWInput_465" localSheetId="2" hidden="1">#REF!</definedName>
    <definedName name="PSWInput_465" localSheetId="0" hidden="1">#REF!</definedName>
    <definedName name="PSWInput_465" hidden="1">#REF!</definedName>
    <definedName name="PSWInput_466" localSheetId="10" hidden="1">#REF!</definedName>
    <definedName name="PSWInput_466" localSheetId="5" hidden="1">#REF!</definedName>
    <definedName name="PSWInput_466" localSheetId="2" hidden="1">#REF!</definedName>
    <definedName name="PSWInput_466" localSheetId="0" hidden="1">#REF!</definedName>
    <definedName name="PSWInput_466" hidden="1">#REF!</definedName>
    <definedName name="PSWInput_467" localSheetId="10" hidden="1">#REF!</definedName>
    <definedName name="PSWInput_467" localSheetId="5" hidden="1">#REF!</definedName>
    <definedName name="PSWInput_467" localSheetId="2" hidden="1">#REF!</definedName>
    <definedName name="PSWInput_467" localSheetId="0" hidden="1">#REF!</definedName>
    <definedName name="PSWInput_467" hidden="1">#REF!</definedName>
    <definedName name="PSWInput_468" localSheetId="10" hidden="1">#REF!</definedName>
    <definedName name="PSWInput_468" localSheetId="5" hidden="1">#REF!</definedName>
    <definedName name="PSWInput_468" localSheetId="2" hidden="1">#REF!</definedName>
    <definedName name="PSWInput_468" localSheetId="0" hidden="1">#REF!</definedName>
    <definedName name="PSWInput_468" hidden="1">#REF!</definedName>
    <definedName name="PSWInput_469" localSheetId="10" hidden="1">#REF!</definedName>
    <definedName name="PSWInput_469" localSheetId="5" hidden="1">#REF!</definedName>
    <definedName name="PSWInput_469" localSheetId="2" hidden="1">#REF!</definedName>
    <definedName name="PSWInput_469" localSheetId="0" hidden="1">#REF!</definedName>
    <definedName name="PSWInput_469" hidden="1">#REF!</definedName>
    <definedName name="PSWInput_47" localSheetId="10" hidden="1">#REF!</definedName>
    <definedName name="PSWInput_47" localSheetId="5" hidden="1">#REF!</definedName>
    <definedName name="PSWInput_47" localSheetId="2" hidden="1">#REF!</definedName>
    <definedName name="PSWInput_47" localSheetId="0" hidden="1">#REF!</definedName>
    <definedName name="PSWInput_47" hidden="1">#REF!</definedName>
    <definedName name="PSWInput_470" localSheetId="10" hidden="1">#REF!</definedName>
    <definedName name="PSWInput_470" localSheetId="5" hidden="1">#REF!</definedName>
    <definedName name="PSWInput_470" localSheetId="2" hidden="1">#REF!</definedName>
    <definedName name="PSWInput_470" localSheetId="0" hidden="1">#REF!</definedName>
    <definedName name="PSWInput_470" hidden="1">#REF!</definedName>
    <definedName name="PSWInput_471" localSheetId="10" hidden="1">#REF!</definedName>
    <definedName name="PSWInput_471" localSheetId="5" hidden="1">#REF!</definedName>
    <definedName name="PSWInput_471" localSheetId="2" hidden="1">#REF!</definedName>
    <definedName name="PSWInput_471" localSheetId="0" hidden="1">#REF!</definedName>
    <definedName name="PSWInput_471" hidden="1">#REF!</definedName>
    <definedName name="PSWInput_472" localSheetId="10" hidden="1">#REF!</definedName>
    <definedName name="PSWInput_472" localSheetId="5" hidden="1">#REF!</definedName>
    <definedName name="PSWInput_472" localSheetId="2" hidden="1">#REF!</definedName>
    <definedName name="PSWInput_472" localSheetId="0" hidden="1">#REF!</definedName>
    <definedName name="PSWInput_472" hidden="1">#REF!</definedName>
    <definedName name="PSWInput_473" localSheetId="10" hidden="1">#REF!</definedName>
    <definedName name="PSWInput_473" localSheetId="5" hidden="1">#REF!</definedName>
    <definedName name="PSWInput_473" localSheetId="2" hidden="1">#REF!</definedName>
    <definedName name="PSWInput_473" localSheetId="0" hidden="1">#REF!</definedName>
    <definedName name="PSWInput_473" hidden="1">#REF!</definedName>
    <definedName name="PSWInput_474" localSheetId="10" hidden="1">#REF!</definedName>
    <definedName name="PSWInput_474" localSheetId="5" hidden="1">#REF!</definedName>
    <definedName name="PSWInput_474" localSheetId="2" hidden="1">#REF!</definedName>
    <definedName name="PSWInput_474" localSheetId="0" hidden="1">#REF!</definedName>
    <definedName name="PSWInput_474" hidden="1">#REF!</definedName>
    <definedName name="PSWInput_475" localSheetId="10" hidden="1">#REF!</definedName>
    <definedName name="PSWInput_475" localSheetId="5" hidden="1">#REF!</definedName>
    <definedName name="PSWInput_475" localSheetId="2" hidden="1">#REF!</definedName>
    <definedName name="PSWInput_475" localSheetId="0" hidden="1">#REF!</definedName>
    <definedName name="PSWInput_475" hidden="1">#REF!</definedName>
    <definedName name="PSWInput_476" localSheetId="10" hidden="1">#REF!</definedName>
    <definedName name="PSWInput_476" localSheetId="5" hidden="1">#REF!</definedName>
    <definedName name="PSWInput_476" localSheetId="2" hidden="1">#REF!</definedName>
    <definedName name="PSWInput_476" localSheetId="0" hidden="1">#REF!</definedName>
    <definedName name="PSWInput_476" hidden="1">#REF!</definedName>
    <definedName name="PSWInput_477" localSheetId="10" hidden="1">#REF!</definedName>
    <definedName name="PSWInput_477" localSheetId="5" hidden="1">#REF!</definedName>
    <definedName name="PSWInput_477" localSheetId="2" hidden="1">#REF!</definedName>
    <definedName name="PSWInput_477" localSheetId="0" hidden="1">#REF!</definedName>
    <definedName name="PSWInput_477" hidden="1">#REF!</definedName>
    <definedName name="PSWInput_478" localSheetId="10" hidden="1">#REF!</definedName>
    <definedName name="PSWInput_478" localSheetId="5" hidden="1">#REF!</definedName>
    <definedName name="PSWInput_478" localSheetId="2" hidden="1">#REF!</definedName>
    <definedName name="PSWInput_478" localSheetId="0" hidden="1">#REF!</definedName>
    <definedName name="PSWInput_478" hidden="1">#REF!</definedName>
    <definedName name="PSWInput_479" localSheetId="10" hidden="1">#REF!</definedName>
    <definedName name="PSWInput_479" localSheetId="5" hidden="1">#REF!</definedName>
    <definedName name="PSWInput_479" localSheetId="2" hidden="1">#REF!</definedName>
    <definedName name="PSWInput_479" localSheetId="0" hidden="1">#REF!</definedName>
    <definedName name="PSWInput_479" hidden="1">#REF!</definedName>
    <definedName name="PSWInput_48" localSheetId="10" hidden="1">#REF!</definedName>
    <definedName name="PSWInput_48" localSheetId="5" hidden="1">#REF!</definedName>
    <definedName name="PSWInput_48" localSheetId="2" hidden="1">#REF!</definedName>
    <definedName name="PSWInput_48" localSheetId="0" hidden="1">#REF!</definedName>
    <definedName name="PSWInput_48" hidden="1">#REF!</definedName>
    <definedName name="PSWInput_480" localSheetId="10" hidden="1">#REF!</definedName>
    <definedName name="PSWInput_480" localSheetId="5" hidden="1">#REF!</definedName>
    <definedName name="PSWInput_480" localSheetId="2" hidden="1">#REF!</definedName>
    <definedName name="PSWInput_480" localSheetId="0" hidden="1">#REF!</definedName>
    <definedName name="PSWInput_480" hidden="1">#REF!</definedName>
    <definedName name="PSWInput_481" localSheetId="10" hidden="1">#REF!</definedName>
    <definedName name="PSWInput_481" localSheetId="5" hidden="1">#REF!</definedName>
    <definedName name="PSWInput_481" localSheetId="2" hidden="1">#REF!</definedName>
    <definedName name="PSWInput_481" localSheetId="0" hidden="1">#REF!</definedName>
    <definedName name="PSWInput_481" hidden="1">#REF!</definedName>
    <definedName name="PSWInput_482" localSheetId="10" hidden="1">#REF!</definedName>
    <definedName name="PSWInput_482" localSheetId="5" hidden="1">#REF!</definedName>
    <definedName name="PSWInput_482" localSheetId="2" hidden="1">#REF!</definedName>
    <definedName name="PSWInput_482" localSheetId="0" hidden="1">#REF!</definedName>
    <definedName name="PSWInput_482" hidden="1">#REF!</definedName>
    <definedName name="PSWInput_483" localSheetId="10" hidden="1">#REF!</definedName>
    <definedName name="PSWInput_483" localSheetId="5" hidden="1">#REF!</definedName>
    <definedName name="PSWInput_483" localSheetId="2" hidden="1">#REF!</definedName>
    <definedName name="PSWInput_483" localSheetId="0" hidden="1">#REF!</definedName>
    <definedName name="PSWInput_483" hidden="1">#REF!</definedName>
    <definedName name="PSWInput_484" localSheetId="10" hidden="1">#REF!</definedName>
    <definedName name="PSWInput_484" localSheetId="5" hidden="1">#REF!</definedName>
    <definedName name="PSWInput_484" localSheetId="2" hidden="1">#REF!</definedName>
    <definedName name="PSWInput_484" localSheetId="0" hidden="1">#REF!</definedName>
    <definedName name="PSWInput_484" hidden="1">#REF!</definedName>
    <definedName name="PSWInput_485" localSheetId="10" hidden="1">#REF!</definedName>
    <definedName name="PSWInput_485" localSheetId="5" hidden="1">#REF!</definedName>
    <definedName name="PSWInput_485" localSheetId="2" hidden="1">#REF!</definedName>
    <definedName name="PSWInput_485" localSheetId="0" hidden="1">#REF!</definedName>
    <definedName name="PSWInput_485" hidden="1">#REF!</definedName>
    <definedName name="PSWInput_486" localSheetId="10" hidden="1">#REF!</definedName>
    <definedName name="PSWInput_486" localSheetId="5" hidden="1">#REF!</definedName>
    <definedName name="PSWInput_486" localSheetId="2" hidden="1">#REF!</definedName>
    <definedName name="PSWInput_486" localSheetId="0" hidden="1">#REF!</definedName>
    <definedName name="PSWInput_486" hidden="1">#REF!</definedName>
    <definedName name="PSWInput_487" localSheetId="10" hidden="1">#REF!</definedName>
    <definedName name="PSWInput_487" localSheetId="5" hidden="1">#REF!</definedName>
    <definedName name="PSWInput_487" localSheetId="2" hidden="1">#REF!</definedName>
    <definedName name="PSWInput_487" localSheetId="0" hidden="1">#REF!</definedName>
    <definedName name="PSWInput_487" hidden="1">#REF!</definedName>
    <definedName name="PSWInput_488" localSheetId="10" hidden="1">#REF!</definedName>
    <definedName name="PSWInput_488" localSheetId="5" hidden="1">#REF!</definedName>
    <definedName name="PSWInput_488" localSheetId="2" hidden="1">#REF!</definedName>
    <definedName name="PSWInput_488" localSheetId="0" hidden="1">#REF!</definedName>
    <definedName name="PSWInput_488" hidden="1">#REF!</definedName>
    <definedName name="PSWInput_489" localSheetId="10" hidden="1">#REF!</definedName>
    <definedName name="PSWInput_489" localSheetId="5" hidden="1">#REF!</definedName>
    <definedName name="PSWInput_489" localSheetId="2" hidden="1">#REF!</definedName>
    <definedName name="PSWInput_489" localSheetId="0" hidden="1">#REF!</definedName>
    <definedName name="PSWInput_489" hidden="1">#REF!</definedName>
    <definedName name="PSWInput_49" localSheetId="10" hidden="1">#REF!</definedName>
    <definedName name="PSWInput_49" localSheetId="5" hidden="1">#REF!</definedName>
    <definedName name="PSWInput_49" localSheetId="2" hidden="1">#REF!</definedName>
    <definedName name="PSWInput_49" localSheetId="0" hidden="1">#REF!</definedName>
    <definedName name="PSWInput_49" hidden="1">#REF!</definedName>
    <definedName name="PSWInput_490" localSheetId="10" hidden="1">#REF!</definedName>
    <definedName name="PSWInput_490" localSheetId="5" hidden="1">#REF!</definedName>
    <definedName name="PSWInput_490" localSheetId="2" hidden="1">#REF!</definedName>
    <definedName name="PSWInput_490" localSheetId="0" hidden="1">#REF!</definedName>
    <definedName name="PSWInput_490" hidden="1">#REF!</definedName>
    <definedName name="PSWInput_491" localSheetId="10" hidden="1">#REF!</definedName>
    <definedName name="PSWInput_491" localSheetId="5" hidden="1">#REF!</definedName>
    <definedName name="PSWInput_491" localSheetId="2" hidden="1">#REF!</definedName>
    <definedName name="PSWInput_491" localSheetId="0" hidden="1">#REF!</definedName>
    <definedName name="PSWInput_491" hidden="1">#REF!</definedName>
    <definedName name="PSWInput_492" localSheetId="10" hidden="1">#REF!</definedName>
    <definedName name="PSWInput_492" localSheetId="5" hidden="1">#REF!</definedName>
    <definedName name="PSWInput_492" localSheetId="2" hidden="1">#REF!</definedName>
    <definedName name="PSWInput_492" localSheetId="0" hidden="1">#REF!</definedName>
    <definedName name="PSWInput_492" hidden="1">#REF!</definedName>
    <definedName name="PSWInput_493" localSheetId="10" hidden="1">#REF!</definedName>
    <definedName name="PSWInput_493" localSheetId="5" hidden="1">#REF!</definedName>
    <definedName name="PSWInput_493" localSheetId="2" hidden="1">#REF!</definedName>
    <definedName name="PSWInput_493" localSheetId="0" hidden="1">#REF!</definedName>
    <definedName name="PSWInput_493" hidden="1">#REF!</definedName>
    <definedName name="PSWInput_494" localSheetId="10" hidden="1">#REF!</definedName>
    <definedName name="PSWInput_494" localSheetId="5" hidden="1">#REF!</definedName>
    <definedName name="PSWInput_494" localSheetId="2" hidden="1">#REF!</definedName>
    <definedName name="PSWInput_494" localSheetId="0" hidden="1">#REF!</definedName>
    <definedName name="PSWInput_494" hidden="1">#REF!</definedName>
    <definedName name="PSWInput_495" localSheetId="10" hidden="1">#REF!</definedName>
    <definedName name="PSWInput_495" localSheetId="5" hidden="1">#REF!</definedName>
    <definedName name="PSWInput_495" localSheetId="2" hidden="1">#REF!</definedName>
    <definedName name="PSWInput_495" localSheetId="0" hidden="1">#REF!</definedName>
    <definedName name="PSWInput_495" hidden="1">#REF!</definedName>
    <definedName name="PSWInput_496" localSheetId="10" hidden="1">#REF!</definedName>
    <definedName name="PSWInput_496" localSheetId="5" hidden="1">#REF!</definedName>
    <definedName name="PSWInput_496" localSheetId="2" hidden="1">#REF!</definedName>
    <definedName name="PSWInput_496" localSheetId="0" hidden="1">#REF!</definedName>
    <definedName name="PSWInput_496" hidden="1">#REF!</definedName>
    <definedName name="PSWInput_497" localSheetId="10" hidden="1">#REF!</definedName>
    <definedName name="PSWInput_497" localSheetId="5" hidden="1">#REF!</definedName>
    <definedName name="PSWInput_497" localSheetId="2" hidden="1">#REF!</definedName>
    <definedName name="PSWInput_497" localSheetId="0" hidden="1">#REF!</definedName>
    <definedName name="PSWInput_497" hidden="1">#REF!</definedName>
    <definedName name="PSWInput_498" localSheetId="10" hidden="1">#REF!</definedName>
    <definedName name="PSWInput_498" localSheetId="5" hidden="1">#REF!</definedName>
    <definedName name="PSWInput_498" localSheetId="2" hidden="1">#REF!</definedName>
    <definedName name="PSWInput_498" localSheetId="0" hidden="1">#REF!</definedName>
    <definedName name="PSWInput_498" hidden="1">#REF!</definedName>
    <definedName name="PSWInput_499" localSheetId="10" hidden="1">#REF!</definedName>
    <definedName name="PSWInput_499" localSheetId="5" hidden="1">#REF!</definedName>
    <definedName name="PSWInput_499" localSheetId="2" hidden="1">#REF!</definedName>
    <definedName name="PSWInput_499" localSheetId="0" hidden="1">#REF!</definedName>
    <definedName name="PSWInput_499" hidden="1">#REF!</definedName>
    <definedName name="PSWInput_5" localSheetId="10" hidden="1">#REF!</definedName>
    <definedName name="PSWInput_5" localSheetId="5" hidden="1">#REF!</definedName>
    <definedName name="PSWInput_5" localSheetId="2" hidden="1">#REF!</definedName>
    <definedName name="PSWInput_5" localSheetId="0" hidden="1">#REF!</definedName>
    <definedName name="PSWInput_5" hidden="1">#REF!</definedName>
    <definedName name="PSWInput_50" localSheetId="10" hidden="1">#REF!</definedName>
    <definedName name="PSWInput_50" localSheetId="5" hidden="1">#REF!</definedName>
    <definedName name="PSWInput_50" localSheetId="2" hidden="1">#REF!</definedName>
    <definedName name="PSWInput_50" localSheetId="0" hidden="1">#REF!</definedName>
    <definedName name="PSWInput_50" hidden="1">#REF!</definedName>
    <definedName name="PSWInput_500" localSheetId="10" hidden="1">#REF!</definedName>
    <definedName name="PSWInput_500" localSheetId="5" hidden="1">#REF!</definedName>
    <definedName name="PSWInput_500" localSheetId="2" hidden="1">#REF!</definedName>
    <definedName name="PSWInput_500" localSheetId="0" hidden="1">#REF!</definedName>
    <definedName name="PSWInput_500" hidden="1">#REF!</definedName>
    <definedName name="PSWInput_501" localSheetId="10" hidden="1">#REF!</definedName>
    <definedName name="PSWInput_501" localSheetId="5" hidden="1">#REF!</definedName>
    <definedName name="PSWInput_501" localSheetId="2" hidden="1">#REF!</definedName>
    <definedName name="PSWInput_501" localSheetId="0" hidden="1">#REF!</definedName>
    <definedName name="PSWInput_501" hidden="1">#REF!</definedName>
    <definedName name="PSWInput_502" localSheetId="10" hidden="1">#REF!</definedName>
    <definedName name="PSWInput_502" localSheetId="5" hidden="1">#REF!</definedName>
    <definedName name="PSWInput_502" localSheetId="2" hidden="1">#REF!</definedName>
    <definedName name="PSWInput_502" localSheetId="0" hidden="1">#REF!</definedName>
    <definedName name="PSWInput_502" hidden="1">#REF!</definedName>
    <definedName name="PSWInput_503" localSheetId="10" hidden="1">#REF!</definedName>
    <definedName name="PSWInput_503" localSheetId="5" hidden="1">#REF!</definedName>
    <definedName name="PSWInput_503" localSheetId="2" hidden="1">#REF!</definedName>
    <definedName name="PSWInput_503" localSheetId="0" hidden="1">#REF!</definedName>
    <definedName name="PSWInput_503" hidden="1">#REF!</definedName>
    <definedName name="PSWInput_504" localSheetId="10" hidden="1">#REF!</definedName>
    <definedName name="PSWInput_504" localSheetId="5" hidden="1">#REF!</definedName>
    <definedName name="PSWInput_504" localSheetId="2" hidden="1">#REF!</definedName>
    <definedName name="PSWInput_504" localSheetId="0" hidden="1">#REF!</definedName>
    <definedName name="PSWInput_504" hidden="1">#REF!</definedName>
    <definedName name="PSWInput_505" localSheetId="10" hidden="1">#REF!</definedName>
    <definedName name="PSWInput_505" localSheetId="5" hidden="1">#REF!</definedName>
    <definedName name="PSWInput_505" localSheetId="2" hidden="1">#REF!</definedName>
    <definedName name="PSWInput_505" localSheetId="0" hidden="1">#REF!</definedName>
    <definedName name="PSWInput_505" hidden="1">#REF!</definedName>
    <definedName name="PSWInput_506" localSheetId="10" hidden="1">#REF!</definedName>
    <definedName name="PSWInput_506" localSheetId="5" hidden="1">#REF!</definedName>
    <definedName name="PSWInput_506" localSheetId="2" hidden="1">#REF!</definedName>
    <definedName name="PSWInput_506" localSheetId="0" hidden="1">#REF!</definedName>
    <definedName name="PSWInput_506" hidden="1">#REF!</definedName>
    <definedName name="PSWInput_507" localSheetId="10" hidden="1">#REF!</definedName>
    <definedName name="PSWInput_507" localSheetId="5" hidden="1">#REF!</definedName>
    <definedName name="PSWInput_507" localSheetId="2" hidden="1">#REF!</definedName>
    <definedName name="PSWInput_507" localSheetId="0" hidden="1">#REF!</definedName>
    <definedName name="PSWInput_507" hidden="1">#REF!</definedName>
    <definedName name="PSWInput_508" localSheetId="10" hidden="1">#REF!</definedName>
    <definedName name="PSWInput_508" localSheetId="5" hidden="1">#REF!</definedName>
    <definedName name="PSWInput_508" localSheetId="2" hidden="1">#REF!</definedName>
    <definedName name="PSWInput_508" localSheetId="0" hidden="1">#REF!</definedName>
    <definedName name="PSWInput_508" hidden="1">#REF!</definedName>
    <definedName name="PSWInput_509" localSheetId="10" hidden="1">#REF!</definedName>
    <definedName name="PSWInput_509" localSheetId="5" hidden="1">#REF!</definedName>
    <definedName name="PSWInput_509" localSheetId="2" hidden="1">#REF!</definedName>
    <definedName name="PSWInput_509" localSheetId="0" hidden="1">#REF!</definedName>
    <definedName name="PSWInput_509" hidden="1">#REF!</definedName>
    <definedName name="PSWInput_51" localSheetId="10" hidden="1">#REF!</definedName>
    <definedName name="PSWInput_51" localSheetId="5" hidden="1">#REF!</definedName>
    <definedName name="PSWInput_51" localSheetId="2" hidden="1">#REF!</definedName>
    <definedName name="PSWInput_51" localSheetId="0" hidden="1">#REF!</definedName>
    <definedName name="PSWInput_51" hidden="1">#REF!</definedName>
    <definedName name="PSWInput_510" localSheetId="10" hidden="1">#REF!</definedName>
    <definedName name="PSWInput_510" localSheetId="5" hidden="1">#REF!</definedName>
    <definedName name="PSWInput_510" localSheetId="2" hidden="1">#REF!</definedName>
    <definedName name="PSWInput_510" localSheetId="0" hidden="1">#REF!</definedName>
    <definedName name="PSWInput_510" hidden="1">#REF!</definedName>
    <definedName name="PSWInput_511" localSheetId="10" hidden="1">#REF!</definedName>
    <definedName name="PSWInput_511" localSheetId="5" hidden="1">#REF!</definedName>
    <definedName name="PSWInput_511" localSheetId="2" hidden="1">#REF!</definedName>
    <definedName name="PSWInput_511" localSheetId="0" hidden="1">#REF!</definedName>
    <definedName name="PSWInput_511" hidden="1">#REF!</definedName>
    <definedName name="PSWInput_512" localSheetId="10" hidden="1">#REF!</definedName>
    <definedName name="PSWInput_512" localSheetId="5" hidden="1">#REF!</definedName>
    <definedName name="PSWInput_512" localSheetId="2" hidden="1">#REF!</definedName>
    <definedName name="PSWInput_512" localSheetId="0" hidden="1">#REF!</definedName>
    <definedName name="PSWInput_512" hidden="1">#REF!</definedName>
    <definedName name="PSWInput_513" localSheetId="10" hidden="1">#REF!</definedName>
    <definedName name="PSWInput_513" localSheetId="5" hidden="1">#REF!</definedName>
    <definedName name="PSWInput_513" localSheetId="2" hidden="1">#REF!</definedName>
    <definedName name="PSWInput_513" localSheetId="0" hidden="1">#REF!</definedName>
    <definedName name="PSWInput_513" hidden="1">#REF!</definedName>
    <definedName name="PSWInput_514" localSheetId="10" hidden="1">#REF!</definedName>
    <definedName name="PSWInput_514" localSheetId="5" hidden="1">#REF!</definedName>
    <definedName name="PSWInput_514" localSheetId="2" hidden="1">#REF!</definedName>
    <definedName name="PSWInput_514" localSheetId="0" hidden="1">#REF!</definedName>
    <definedName name="PSWInput_514" hidden="1">#REF!</definedName>
    <definedName name="PSWInput_515" localSheetId="10" hidden="1">#REF!</definedName>
    <definedName name="PSWInput_515" localSheetId="5" hidden="1">#REF!</definedName>
    <definedName name="PSWInput_515" localSheetId="2" hidden="1">#REF!</definedName>
    <definedName name="PSWInput_515" localSheetId="0" hidden="1">#REF!</definedName>
    <definedName name="PSWInput_515" hidden="1">#REF!</definedName>
    <definedName name="PSWInput_516" localSheetId="10" hidden="1">#REF!</definedName>
    <definedName name="PSWInput_516" localSheetId="5" hidden="1">#REF!</definedName>
    <definedName name="PSWInput_516" localSheetId="2" hidden="1">#REF!</definedName>
    <definedName name="PSWInput_516" localSheetId="0" hidden="1">#REF!</definedName>
    <definedName name="PSWInput_516" hidden="1">#REF!</definedName>
    <definedName name="PSWInput_517" localSheetId="10" hidden="1">#REF!</definedName>
    <definedName name="PSWInput_517" localSheetId="5" hidden="1">#REF!</definedName>
    <definedName name="PSWInput_517" localSheetId="2" hidden="1">#REF!</definedName>
    <definedName name="PSWInput_517" localSheetId="0" hidden="1">#REF!</definedName>
    <definedName name="PSWInput_517" hidden="1">#REF!</definedName>
    <definedName name="PSWInput_518" localSheetId="10" hidden="1">#REF!</definedName>
    <definedName name="PSWInput_518" localSheetId="5" hidden="1">#REF!</definedName>
    <definedName name="PSWInput_518" localSheetId="2" hidden="1">#REF!</definedName>
    <definedName name="PSWInput_518" localSheetId="0" hidden="1">#REF!</definedName>
    <definedName name="PSWInput_518" hidden="1">#REF!</definedName>
    <definedName name="PSWInput_519" localSheetId="10" hidden="1">#REF!</definedName>
    <definedName name="PSWInput_519" localSheetId="5" hidden="1">#REF!</definedName>
    <definedName name="PSWInput_519" localSheetId="2" hidden="1">#REF!</definedName>
    <definedName name="PSWInput_519" localSheetId="0" hidden="1">#REF!</definedName>
    <definedName name="PSWInput_519" hidden="1">#REF!</definedName>
    <definedName name="PSWInput_52" localSheetId="10" hidden="1">#REF!</definedName>
    <definedName name="PSWInput_52" localSheetId="5" hidden="1">#REF!</definedName>
    <definedName name="PSWInput_52" localSheetId="2" hidden="1">#REF!</definedName>
    <definedName name="PSWInput_52" localSheetId="0" hidden="1">#REF!</definedName>
    <definedName name="PSWInput_52" hidden="1">#REF!</definedName>
    <definedName name="PSWInput_520" localSheetId="10" hidden="1">#REF!</definedName>
    <definedName name="PSWInput_520" localSheetId="5" hidden="1">#REF!</definedName>
    <definedName name="PSWInput_520" localSheetId="2" hidden="1">#REF!</definedName>
    <definedName name="PSWInput_520" localSheetId="0" hidden="1">#REF!</definedName>
    <definedName name="PSWInput_520" hidden="1">#REF!</definedName>
    <definedName name="PSWInput_521" localSheetId="10" hidden="1">#REF!</definedName>
    <definedName name="PSWInput_521" localSheetId="5" hidden="1">#REF!</definedName>
    <definedName name="PSWInput_521" localSheetId="2" hidden="1">#REF!</definedName>
    <definedName name="PSWInput_521" localSheetId="0" hidden="1">#REF!</definedName>
    <definedName name="PSWInput_521" hidden="1">#REF!</definedName>
    <definedName name="PSWInput_522" localSheetId="10" hidden="1">#REF!</definedName>
    <definedName name="PSWInput_522" localSheetId="5" hidden="1">#REF!</definedName>
    <definedName name="PSWInput_522" localSheetId="2" hidden="1">#REF!</definedName>
    <definedName name="PSWInput_522" localSheetId="0" hidden="1">#REF!</definedName>
    <definedName name="PSWInput_522" hidden="1">#REF!</definedName>
    <definedName name="PSWInput_523" localSheetId="10" hidden="1">#REF!</definedName>
    <definedName name="PSWInput_523" localSheetId="5" hidden="1">#REF!</definedName>
    <definedName name="PSWInput_523" localSheetId="2" hidden="1">#REF!</definedName>
    <definedName name="PSWInput_523" localSheetId="0" hidden="1">#REF!</definedName>
    <definedName name="PSWInput_523" hidden="1">#REF!</definedName>
    <definedName name="PSWInput_524" localSheetId="10" hidden="1">#REF!</definedName>
    <definedName name="PSWInput_524" localSheetId="5" hidden="1">#REF!</definedName>
    <definedName name="PSWInput_524" localSheetId="2" hidden="1">#REF!</definedName>
    <definedName name="PSWInput_524" localSheetId="0" hidden="1">#REF!</definedName>
    <definedName name="PSWInput_524" hidden="1">#REF!</definedName>
    <definedName name="PSWInput_525" localSheetId="10" hidden="1">#REF!</definedName>
    <definedName name="PSWInput_525" localSheetId="5" hidden="1">#REF!</definedName>
    <definedName name="PSWInput_525" localSheetId="2" hidden="1">#REF!</definedName>
    <definedName name="PSWInput_525" localSheetId="0" hidden="1">#REF!</definedName>
    <definedName name="PSWInput_525" hidden="1">#REF!</definedName>
    <definedName name="PSWInput_526" localSheetId="10" hidden="1">#REF!</definedName>
    <definedName name="PSWInput_526" localSheetId="5" hidden="1">#REF!</definedName>
    <definedName name="PSWInput_526" localSheetId="2" hidden="1">#REF!</definedName>
    <definedName name="PSWInput_526" localSheetId="0" hidden="1">#REF!</definedName>
    <definedName name="PSWInput_526" hidden="1">#REF!</definedName>
    <definedName name="PSWInput_527" localSheetId="10" hidden="1">#REF!</definedName>
    <definedName name="PSWInput_527" localSheetId="5" hidden="1">#REF!</definedName>
    <definedName name="PSWInput_527" localSheetId="2" hidden="1">#REF!</definedName>
    <definedName name="PSWInput_527" localSheetId="0" hidden="1">#REF!</definedName>
    <definedName name="PSWInput_527" hidden="1">#REF!</definedName>
    <definedName name="PSWInput_528" localSheetId="10" hidden="1">#REF!</definedName>
    <definedName name="PSWInput_528" localSheetId="5" hidden="1">#REF!</definedName>
    <definedName name="PSWInput_528" localSheetId="2" hidden="1">#REF!</definedName>
    <definedName name="PSWInput_528" localSheetId="0" hidden="1">#REF!</definedName>
    <definedName name="PSWInput_528" hidden="1">#REF!</definedName>
    <definedName name="PSWInput_529" localSheetId="10" hidden="1">#REF!</definedName>
    <definedName name="PSWInput_529" localSheetId="5" hidden="1">#REF!</definedName>
    <definedName name="PSWInput_529" localSheetId="2" hidden="1">#REF!</definedName>
    <definedName name="PSWInput_529" localSheetId="0" hidden="1">#REF!</definedName>
    <definedName name="PSWInput_529" hidden="1">#REF!</definedName>
    <definedName name="PSWInput_53" localSheetId="10" hidden="1">#REF!</definedName>
    <definedName name="PSWInput_53" localSheetId="5" hidden="1">#REF!</definedName>
    <definedName name="PSWInput_53" localSheetId="2" hidden="1">#REF!</definedName>
    <definedName name="PSWInput_53" localSheetId="0" hidden="1">#REF!</definedName>
    <definedName name="PSWInput_53" hidden="1">#REF!</definedName>
    <definedName name="PSWInput_530" localSheetId="10" hidden="1">#REF!</definedName>
    <definedName name="PSWInput_530" localSheetId="5" hidden="1">#REF!</definedName>
    <definedName name="PSWInput_530" localSheetId="2" hidden="1">#REF!</definedName>
    <definedName name="PSWInput_530" localSheetId="0" hidden="1">#REF!</definedName>
    <definedName name="PSWInput_530" hidden="1">#REF!</definedName>
    <definedName name="PSWInput_531" localSheetId="10" hidden="1">#REF!</definedName>
    <definedName name="PSWInput_531" localSheetId="5" hidden="1">#REF!</definedName>
    <definedName name="PSWInput_531" localSheetId="2" hidden="1">#REF!</definedName>
    <definedName name="PSWInput_531" localSheetId="0" hidden="1">#REF!</definedName>
    <definedName name="PSWInput_531" hidden="1">#REF!</definedName>
    <definedName name="PSWInput_532" localSheetId="10" hidden="1">#REF!</definedName>
    <definedName name="PSWInput_532" localSheetId="5" hidden="1">#REF!</definedName>
    <definedName name="PSWInput_532" localSheetId="2" hidden="1">#REF!</definedName>
    <definedName name="PSWInput_532" localSheetId="0" hidden="1">#REF!</definedName>
    <definedName name="PSWInput_532" hidden="1">#REF!</definedName>
    <definedName name="PSWInput_533" localSheetId="10" hidden="1">#REF!</definedName>
    <definedName name="PSWInput_533" localSheetId="5" hidden="1">#REF!</definedName>
    <definedName name="PSWInput_533" localSheetId="2" hidden="1">#REF!</definedName>
    <definedName name="PSWInput_533" localSheetId="0" hidden="1">#REF!</definedName>
    <definedName name="PSWInput_533" hidden="1">#REF!</definedName>
    <definedName name="PSWInput_534" localSheetId="10" hidden="1">#REF!</definedName>
    <definedName name="PSWInput_534" localSheetId="5" hidden="1">#REF!</definedName>
    <definedName name="PSWInput_534" localSheetId="2" hidden="1">#REF!</definedName>
    <definedName name="PSWInput_534" localSheetId="0" hidden="1">#REF!</definedName>
    <definedName name="PSWInput_534" hidden="1">#REF!</definedName>
    <definedName name="PSWInput_535" localSheetId="10" hidden="1">#REF!</definedName>
    <definedName name="PSWInput_535" localSheetId="5" hidden="1">#REF!</definedName>
    <definedName name="PSWInput_535" localSheetId="2" hidden="1">#REF!</definedName>
    <definedName name="PSWInput_535" localSheetId="0" hidden="1">#REF!</definedName>
    <definedName name="PSWInput_535" hidden="1">#REF!</definedName>
    <definedName name="PSWInput_536" localSheetId="10" hidden="1">#REF!</definedName>
    <definedName name="PSWInput_536" localSheetId="5" hidden="1">#REF!</definedName>
    <definedName name="PSWInput_536" localSheetId="2" hidden="1">#REF!</definedName>
    <definedName name="PSWInput_536" localSheetId="0" hidden="1">#REF!</definedName>
    <definedName name="PSWInput_536" hidden="1">#REF!</definedName>
    <definedName name="PSWInput_537" localSheetId="10" hidden="1">#REF!</definedName>
    <definedName name="PSWInput_537" localSheetId="5" hidden="1">#REF!</definedName>
    <definedName name="PSWInput_537" localSheetId="2" hidden="1">#REF!</definedName>
    <definedName name="PSWInput_537" localSheetId="0" hidden="1">#REF!</definedName>
    <definedName name="PSWInput_537" hidden="1">#REF!</definedName>
    <definedName name="PSWInput_538" localSheetId="10" hidden="1">#REF!</definedName>
    <definedName name="PSWInput_538" localSheetId="5" hidden="1">#REF!</definedName>
    <definedName name="PSWInput_538" localSheetId="2" hidden="1">#REF!</definedName>
    <definedName name="PSWInput_538" localSheetId="0" hidden="1">#REF!</definedName>
    <definedName name="PSWInput_538" hidden="1">#REF!</definedName>
    <definedName name="PSWInput_539" localSheetId="10" hidden="1">#REF!</definedName>
    <definedName name="PSWInput_539" localSheetId="5" hidden="1">#REF!</definedName>
    <definedName name="PSWInput_539" localSheetId="2" hidden="1">#REF!</definedName>
    <definedName name="PSWInput_539" localSheetId="0" hidden="1">#REF!</definedName>
    <definedName name="PSWInput_539" hidden="1">#REF!</definedName>
    <definedName name="PSWInput_54" localSheetId="10" hidden="1">#REF!</definedName>
    <definedName name="PSWInput_54" localSheetId="5" hidden="1">#REF!</definedName>
    <definedName name="PSWInput_54" localSheetId="2" hidden="1">#REF!</definedName>
    <definedName name="PSWInput_54" localSheetId="0" hidden="1">#REF!</definedName>
    <definedName name="PSWInput_54" hidden="1">#REF!</definedName>
    <definedName name="PSWInput_540" localSheetId="10" hidden="1">#REF!</definedName>
    <definedName name="PSWInput_540" localSheetId="5" hidden="1">#REF!</definedName>
    <definedName name="PSWInput_540" localSheetId="2" hidden="1">#REF!</definedName>
    <definedName name="PSWInput_540" localSheetId="0" hidden="1">#REF!</definedName>
    <definedName name="PSWInput_540" hidden="1">#REF!</definedName>
    <definedName name="PSWInput_541" localSheetId="10" hidden="1">#REF!</definedName>
    <definedName name="PSWInput_541" localSheetId="5" hidden="1">#REF!</definedName>
    <definedName name="PSWInput_541" localSheetId="2" hidden="1">#REF!</definedName>
    <definedName name="PSWInput_541" localSheetId="0" hidden="1">#REF!</definedName>
    <definedName name="PSWInput_541" hidden="1">#REF!</definedName>
    <definedName name="PSWInput_542" localSheetId="10" hidden="1">#REF!</definedName>
    <definedName name="PSWInput_542" localSheetId="5" hidden="1">#REF!</definedName>
    <definedName name="PSWInput_542" localSheetId="2" hidden="1">#REF!</definedName>
    <definedName name="PSWInput_542" localSheetId="0" hidden="1">#REF!</definedName>
    <definedName name="PSWInput_542" hidden="1">#REF!</definedName>
    <definedName name="PSWInput_543" localSheetId="10" hidden="1">#REF!</definedName>
    <definedName name="PSWInput_543" localSheetId="5" hidden="1">#REF!</definedName>
    <definedName name="PSWInput_543" localSheetId="2" hidden="1">#REF!</definedName>
    <definedName name="PSWInput_543" localSheetId="0" hidden="1">#REF!</definedName>
    <definedName name="PSWInput_543" hidden="1">#REF!</definedName>
    <definedName name="PSWInput_544" localSheetId="10" hidden="1">#REF!</definedName>
    <definedName name="PSWInput_544" localSheetId="5" hidden="1">#REF!</definedName>
    <definedName name="PSWInput_544" localSheetId="2" hidden="1">#REF!</definedName>
    <definedName name="PSWInput_544" localSheetId="0" hidden="1">#REF!</definedName>
    <definedName name="PSWInput_544" hidden="1">#REF!</definedName>
    <definedName name="PSWInput_545" localSheetId="10" hidden="1">#REF!</definedName>
    <definedName name="PSWInput_545" localSheetId="5" hidden="1">#REF!</definedName>
    <definedName name="PSWInput_545" localSheetId="2" hidden="1">#REF!</definedName>
    <definedName name="PSWInput_545" localSheetId="0" hidden="1">#REF!</definedName>
    <definedName name="PSWInput_545" hidden="1">#REF!</definedName>
    <definedName name="PSWInput_546" localSheetId="10" hidden="1">#REF!</definedName>
    <definedName name="PSWInput_546" localSheetId="5" hidden="1">#REF!</definedName>
    <definedName name="PSWInput_546" localSheetId="2" hidden="1">#REF!</definedName>
    <definedName name="PSWInput_546" localSheetId="0" hidden="1">#REF!</definedName>
    <definedName name="PSWInput_546" hidden="1">#REF!</definedName>
    <definedName name="PSWInput_547" localSheetId="10" hidden="1">#REF!</definedName>
    <definedName name="PSWInput_547" localSheetId="5" hidden="1">#REF!</definedName>
    <definedName name="PSWInput_547" localSheetId="2" hidden="1">#REF!</definedName>
    <definedName name="PSWInput_547" localSheetId="0" hidden="1">#REF!</definedName>
    <definedName name="PSWInput_547" hidden="1">#REF!</definedName>
    <definedName name="PSWInput_548" localSheetId="10" hidden="1">#REF!</definedName>
    <definedName name="PSWInput_548" localSheetId="5" hidden="1">#REF!</definedName>
    <definedName name="PSWInput_548" localSheetId="2" hidden="1">#REF!</definedName>
    <definedName name="PSWInput_548" localSheetId="0" hidden="1">#REF!</definedName>
    <definedName name="PSWInput_548" hidden="1">#REF!</definedName>
    <definedName name="PSWInput_549" localSheetId="10" hidden="1">#REF!</definedName>
    <definedName name="PSWInput_549" localSheetId="5" hidden="1">#REF!</definedName>
    <definedName name="PSWInput_549" localSheetId="2" hidden="1">#REF!</definedName>
    <definedName name="PSWInput_549" localSheetId="0" hidden="1">#REF!</definedName>
    <definedName name="PSWInput_549" hidden="1">#REF!</definedName>
    <definedName name="PSWInput_55" localSheetId="10" hidden="1">#REF!</definedName>
    <definedName name="PSWInput_55" localSheetId="5" hidden="1">#REF!</definedName>
    <definedName name="PSWInput_55" localSheetId="2" hidden="1">#REF!</definedName>
    <definedName name="PSWInput_55" localSheetId="0" hidden="1">#REF!</definedName>
    <definedName name="PSWInput_55" hidden="1">#REF!</definedName>
    <definedName name="PSWInput_550" localSheetId="10" hidden="1">#REF!</definedName>
    <definedName name="PSWInput_550" localSheetId="5" hidden="1">#REF!</definedName>
    <definedName name="PSWInput_550" localSheetId="2" hidden="1">#REF!</definedName>
    <definedName name="PSWInput_550" localSheetId="0" hidden="1">#REF!</definedName>
    <definedName name="PSWInput_550" hidden="1">#REF!</definedName>
    <definedName name="PSWInput_551" localSheetId="10" hidden="1">#REF!</definedName>
    <definedName name="PSWInput_551" localSheetId="5" hidden="1">#REF!</definedName>
    <definedName name="PSWInput_551" localSheetId="2" hidden="1">#REF!</definedName>
    <definedName name="PSWInput_551" localSheetId="0" hidden="1">#REF!</definedName>
    <definedName name="PSWInput_551" hidden="1">#REF!</definedName>
    <definedName name="PSWInput_552" localSheetId="10" hidden="1">#REF!</definedName>
    <definedName name="PSWInput_552" localSheetId="5" hidden="1">#REF!</definedName>
    <definedName name="PSWInput_552" localSheetId="2" hidden="1">#REF!</definedName>
    <definedName name="PSWInput_552" localSheetId="0" hidden="1">#REF!</definedName>
    <definedName name="PSWInput_552" hidden="1">#REF!</definedName>
    <definedName name="PSWInput_553" localSheetId="10" hidden="1">#REF!</definedName>
    <definedName name="PSWInput_553" localSheetId="5" hidden="1">#REF!</definedName>
    <definedName name="PSWInput_553" localSheetId="2" hidden="1">#REF!</definedName>
    <definedName name="PSWInput_553" localSheetId="0" hidden="1">#REF!</definedName>
    <definedName name="PSWInput_553" hidden="1">#REF!</definedName>
    <definedName name="PSWInput_554" localSheetId="10" hidden="1">#REF!</definedName>
    <definedName name="PSWInput_554" localSheetId="5" hidden="1">#REF!</definedName>
    <definedName name="PSWInput_554" localSheetId="2" hidden="1">#REF!</definedName>
    <definedName name="PSWInput_554" localSheetId="0" hidden="1">#REF!</definedName>
    <definedName name="PSWInput_554" hidden="1">#REF!</definedName>
    <definedName name="PSWInput_555" localSheetId="10" hidden="1">#REF!</definedName>
    <definedName name="PSWInput_555" localSheetId="5" hidden="1">#REF!</definedName>
    <definedName name="PSWInput_555" localSheetId="2" hidden="1">#REF!</definedName>
    <definedName name="PSWInput_555" localSheetId="0" hidden="1">#REF!</definedName>
    <definedName name="PSWInput_555" hidden="1">#REF!</definedName>
    <definedName name="PSWInput_556" localSheetId="10" hidden="1">#REF!</definedName>
    <definedName name="PSWInput_556" localSheetId="5" hidden="1">#REF!</definedName>
    <definedName name="PSWInput_556" localSheetId="2" hidden="1">#REF!</definedName>
    <definedName name="PSWInput_556" localSheetId="0" hidden="1">#REF!</definedName>
    <definedName name="PSWInput_556" hidden="1">#REF!</definedName>
    <definedName name="PSWInput_557" localSheetId="10" hidden="1">#REF!</definedName>
    <definedName name="PSWInput_557" localSheetId="5" hidden="1">#REF!</definedName>
    <definedName name="PSWInput_557" localSheetId="2" hidden="1">#REF!</definedName>
    <definedName name="PSWInput_557" localSheetId="0" hidden="1">#REF!</definedName>
    <definedName name="PSWInput_557" hidden="1">#REF!</definedName>
    <definedName name="PSWInput_558" localSheetId="10" hidden="1">#REF!</definedName>
    <definedName name="PSWInput_558" localSheetId="5" hidden="1">#REF!</definedName>
    <definedName name="PSWInput_558" localSheetId="2" hidden="1">#REF!</definedName>
    <definedName name="PSWInput_558" localSheetId="0" hidden="1">#REF!</definedName>
    <definedName name="PSWInput_558" hidden="1">#REF!</definedName>
    <definedName name="PSWInput_559" localSheetId="10" hidden="1">#REF!</definedName>
    <definedName name="PSWInput_559" localSheetId="5" hidden="1">#REF!</definedName>
    <definedName name="PSWInput_559" localSheetId="2" hidden="1">#REF!</definedName>
    <definedName name="PSWInput_559" localSheetId="0" hidden="1">#REF!</definedName>
    <definedName name="PSWInput_559" hidden="1">#REF!</definedName>
    <definedName name="PSWInput_56" localSheetId="10" hidden="1">#REF!</definedName>
    <definedName name="PSWInput_56" localSheetId="5" hidden="1">#REF!</definedName>
    <definedName name="PSWInput_56" localSheetId="2" hidden="1">#REF!</definedName>
    <definedName name="PSWInput_56" localSheetId="0" hidden="1">#REF!</definedName>
    <definedName name="PSWInput_56" hidden="1">#REF!</definedName>
    <definedName name="PSWInput_560" localSheetId="10" hidden="1">#REF!</definedName>
    <definedName name="PSWInput_560" localSheetId="5" hidden="1">#REF!</definedName>
    <definedName name="PSWInput_560" localSheetId="2" hidden="1">#REF!</definedName>
    <definedName name="PSWInput_560" localSheetId="0" hidden="1">#REF!</definedName>
    <definedName name="PSWInput_560" hidden="1">#REF!</definedName>
    <definedName name="PSWInput_561" localSheetId="10" hidden="1">#REF!</definedName>
    <definedName name="PSWInput_561" localSheetId="5" hidden="1">#REF!</definedName>
    <definedName name="PSWInput_561" localSheetId="2" hidden="1">#REF!</definedName>
    <definedName name="PSWInput_561" localSheetId="0" hidden="1">#REF!</definedName>
    <definedName name="PSWInput_561" hidden="1">#REF!</definedName>
    <definedName name="PSWInput_562" localSheetId="10" hidden="1">#REF!</definedName>
    <definedName name="PSWInput_562" localSheetId="5" hidden="1">#REF!</definedName>
    <definedName name="PSWInput_562" localSheetId="2" hidden="1">#REF!</definedName>
    <definedName name="PSWInput_562" localSheetId="0" hidden="1">#REF!</definedName>
    <definedName name="PSWInput_562" hidden="1">#REF!</definedName>
    <definedName name="PSWInput_563" localSheetId="10" hidden="1">#REF!</definedName>
    <definedName name="PSWInput_563" localSheetId="5" hidden="1">#REF!</definedName>
    <definedName name="PSWInput_563" localSheetId="2" hidden="1">#REF!</definedName>
    <definedName name="PSWInput_563" localSheetId="0" hidden="1">#REF!</definedName>
    <definedName name="PSWInput_563" hidden="1">#REF!</definedName>
    <definedName name="PSWInput_564" localSheetId="10" hidden="1">#REF!</definedName>
    <definedName name="PSWInput_564" localSheetId="5" hidden="1">#REF!</definedName>
    <definedName name="PSWInput_564" localSheetId="2" hidden="1">#REF!</definedName>
    <definedName name="PSWInput_564" localSheetId="0" hidden="1">#REF!</definedName>
    <definedName name="PSWInput_564" hidden="1">#REF!</definedName>
    <definedName name="PSWInput_565" localSheetId="10" hidden="1">#REF!</definedName>
    <definedName name="PSWInput_565" localSheetId="5" hidden="1">#REF!</definedName>
    <definedName name="PSWInput_565" localSheetId="2" hidden="1">#REF!</definedName>
    <definedName name="PSWInput_565" localSheetId="0" hidden="1">#REF!</definedName>
    <definedName name="PSWInput_565" hidden="1">#REF!</definedName>
    <definedName name="PSWInput_566" localSheetId="10" hidden="1">#REF!</definedName>
    <definedName name="PSWInput_566" localSheetId="5" hidden="1">#REF!</definedName>
    <definedName name="PSWInput_566" localSheetId="2" hidden="1">#REF!</definedName>
    <definedName name="PSWInput_566" localSheetId="0" hidden="1">#REF!</definedName>
    <definedName name="PSWInput_566" hidden="1">#REF!</definedName>
    <definedName name="PSWInput_567" localSheetId="10" hidden="1">#REF!</definedName>
    <definedName name="PSWInput_567" localSheetId="5" hidden="1">#REF!</definedName>
    <definedName name="PSWInput_567" localSheetId="2" hidden="1">#REF!</definedName>
    <definedName name="PSWInput_567" localSheetId="0" hidden="1">#REF!</definedName>
    <definedName name="PSWInput_567" hidden="1">#REF!</definedName>
    <definedName name="PSWInput_568" localSheetId="10" hidden="1">#REF!</definedName>
    <definedName name="PSWInput_568" localSheetId="5" hidden="1">#REF!</definedName>
    <definedName name="PSWInput_568" localSheetId="2" hidden="1">#REF!</definedName>
    <definedName name="PSWInput_568" localSheetId="0" hidden="1">#REF!</definedName>
    <definedName name="PSWInput_568" hidden="1">#REF!</definedName>
    <definedName name="PSWInput_569" localSheetId="10" hidden="1">#REF!</definedName>
    <definedName name="PSWInput_569" localSheetId="5" hidden="1">#REF!</definedName>
    <definedName name="PSWInput_569" localSheetId="2" hidden="1">#REF!</definedName>
    <definedName name="PSWInput_569" localSheetId="0" hidden="1">#REF!</definedName>
    <definedName name="PSWInput_569" hidden="1">#REF!</definedName>
    <definedName name="PSWInput_57" localSheetId="10" hidden="1">#REF!</definedName>
    <definedName name="PSWInput_57" localSheetId="5" hidden="1">#REF!</definedName>
    <definedName name="PSWInput_57" localSheetId="2" hidden="1">#REF!</definedName>
    <definedName name="PSWInput_57" localSheetId="0" hidden="1">#REF!</definedName>
    <definedName name="PSWInput_57" hidden="1">#REF!</definedName>
    <definedName name="PSWInput_570" localSheetId="10" hidden="1">#REF!</definedName>
    <definedName name="PSWInput_570" localSheetId="5" hidden="1">#REF!</definedName>
    <definedName name="PSWInput_570" localSheetId="2" hidden="1">#REF!</definedName>
    <definedName name="PSWInput_570" localSheetId="0" hidden="1">#REF!</definedName>
    <definedName name="PSWInput_570" hidden="1">#REF!</definedName>
    <definedName name="PSWInput_571" localSheetId="10" hidden="1">#REF!</definedName>
    <definedName name="PSWInput_571" localSheetId="5" hidden="1">#REF!</definedName>
    <definedName name="PSWInput_571" localSheetId="2" hidden="1">#REF!</definedName>
    <definedName name="PSWInput_571" localSheetId="0" hidden="1">#REF!</definedName>
    <definedName name="PSWInput_571" hidden="1">#REF!</definedName>
    <definedName name="PSWInput_572" localSheetId="10" hidden="1">#REF!</definedName>
    <definedName name="PSWInput_572" localSheetId="5" hidden="1">#REF!</definedName>
    <definedName name="PSWInput_572" localSheetId="2" hidden="1">#REF!</definedName>
    <definedName name="PSWInput_572" localSheetId="0" hidden="1">#REF!</definedName>
    <definedName name="PSWInput_572" hidden="1">#REF!</definedName>
    <definedName name="PSWInput_573" localSheetId="10" hidden="1">#REF!</definedName>
    <definedName name="PSWInput_573" localSheetId="5" hidden="1">#REF!</definedName>
    <definedName name="PSWInput_573" localSheetId="2" hidden="1">#REF!</definedName>
    <definedName name="PSWInput_573" localSheetId="0" hidden="1">#REF!</definedName>
    <definedName name="PSWInput_573" hidden="1">#REF!</definedName>
    <definedName name="PSWInput_58" localSheetId="10" hidden="1">#REF!</definedName>
    <definedName name="PSWInput_58" localSheetId="5" hidden="1">#REF!</definedName>
    <definedName name="PSWInput_58" localSheetId="2" hidden="1">#REF!</definedName>
    <definedName name="PSWInput_58" localSheetId="0" hidden="1">#REF!</definedName>
    <definedName name="PSWInput_58" hidden="1">#REF!</definedName>
    <definedName name="PSWInput_59" localSheetId="10" hidden="1">#REF!</definedName>
    <definedName name="PSWInput_59" localSheetId="5" hidden="1">#REF!</definedName>
    <definedName name="PSWInput_59" localSheetId="2" hidden="1">#REF!</definedName>
    <definedName name="PSWInput_59" localSheetId="0" hidden="1">#REF!</definedName>
    <definedName name="PSWInput_59" hidden="1">#REF!</definedName>
    <definedName name="PSWInput_6" localSheetId="10" hidden="1">#REF!</definedName>
    <definedName name="PSWInput_6" localSheetId="5" hidden="1">#REF!</definedName>
    <definedName name="PSWInput_6" localSheetId="2" hidden="1">#REF!</definedName>
    <definedName name="PSWInput_6" localSheetId="0" hidden="1">#REF!</definedName>
    <definedName name="PSWInput_6" hidden="1">#REF!</definedName>
    <definedName name="PSWInput_60" localSheetId="10" hidden="1">#REF!</definedName>
    <definedName name="PSWInput_60" localSheetId="5" hidden="1">#REF!</definedName>
    <definedName name="PSWInput_60" localSheetId="2" hidden="1">#REF!</definedName>
    <definedName name="PSWInput_60" localSheetId="0" hidden="1">#REF!</definedName>
    <definedName name="PSWInput_60" hidden="1">#REF!</definedName>
    <definedName name="PSWInput_61" localSheetId="10" hidden="1">#REF!</definedName>
    <definedName name="PSWInput_61" localSheetId="5" hidden="1">#REF!</definedName>
    <definedName name="PSWInput_61" localSheetId="2" hidden="1">#REF!</definedName>
    <definedName name="PSWInput_61" localSheetId="0" hidden="1">#REF!</definedName>
    <definedName name="PSWInput_61" hidden="1">#REF!</definedName>
    <definedName name="PSWInput_62" localSheetId="10" hidden="1">#REF!</definedName>
    <definedName name="PSWInput_62" localSheetId="5" hidden="1">#REF!</definedName>
    <definedName name="PSWInput_62" localSheetId="2" hidden="1">#REF!</definedName>
    <definedName name="PSWInput_62" localSheetId="0" hidden="1">#REF!</definedName>
    <definedName name="PSWInput_62" hidden="1">#REF!</definedName>
    <definedName name="PSWInput_63" localSheetId="10" hidden="1">#REF!</definedName>
    <definedName name="PSWInput_63" localSheetId="5" hidden="1">#REF!</definedName>
    <definedName name="PSWInput_63" localSheetId="2" hidden="1">#REF!</definedName>
    <definedName name="PSWInput_63" localSheetId="0" hidden="1">#REF!</definedName>
    <definedName name="PSWInput_63" hidden="1">#REF!</definedName>
    <definedName name="PSWInput_64" localSheetId="10" hidden="1">#REF!</definedName>
    <definedName name="PSWInput_64" localSheetId="5" hidden="1">#REF!</definedName>
    <definedName name="PSWInput_64" localSheetId="2" hidden="1">#REF!</definedName>
    <definedName name="PSWInput_64" localSheetId="0" hidden="1">#REF!</definedName>
    <definedName name="PSWInput_64" hidden="1">#REF!</definedName>
    <definedName name="PSWInput_65" localSheetId="10" hidden="1">#REF!</definedName>
    <definedName name="PSWInput_65" localSheetId="5" hidden="1">#REF!</definedName>
    <definedName name="PSWInput_65" localSheetId="2" hidden="1">#REF!</definedName>
    <definedName name="PSWInput_65" localSheetId="0" hidden="1">#REF!</definedName>
    <definedName name="PSWInput_65" hidden="1">#REF!</definedName>
    <definedName name="PSWInput_66" localSheetId="10" hidden="1">#REF!</definedName>
    <definedName name="PSWInput_66" localSheetId="5" hidden="1">#REF!</definedName>
    <definedName name="PSWInput_66" localSheetId="2" hidden="1">#REF!</definedName>
    <definedName name="PSWInput_66" localSheetId="0" hidden="1">#REF!</definedName>
    <definedName name="PSWInput_66" hidden="1">#REF!</definedName>
    <definedName name="PSWInput_67" localSheetId="10" hidden="1">#REF!</definedName>
    <definedName name="PSWInput_67" localSheetId="5" hidden="1">#REF!</definedName>
    <definedName name="PSWInput_67" localSheetId="2" hidden="1">#REF!</definedName>
    <definedName name="PSWInput_67" localSheetId="0" hidden="1">#REF!</definedName>
    <definedName name="PSWInput_67" hidden="1">#REF!</definedName>
    <definedName name="PSWInput_68" localSheetId="10" hidden="1">#REF!</definedName>
    <definedName name="PSWInput_68" localSheetId="5" hidden="1">#REF!</definedName>
    <definedName name="PSWInput_68" localSheetId="2" hidden="1">#REF!</definedName>
    <definedName name="PSWInput_68" localSheetId="0" hidden="1">#REF!</definedName>
    <definedName name="PSWInput_68" hidden="1">#REF!</definedName>
    <definedName name="PSWInput_69" localSheetId="10" hidden="1">#REF!</definedName>
    <definedName name="PSWInput_69" localSheetId="5" hidden="1">#REF!</definedName>
    <definedName name="PSWInput_69" localSheetId="2" hidden="1">#REF!</definedName>
    <definedName name="PSWInput_69" localSheetId="0" hidden="1">#REF!</definedName>
    <definedName name="PSWInput_69" hidden="1">#REF!</definedName>
    <definedName name="PSWInput_7" localSheetId="10" hidden="1">#REF!</definedName>
    <definedName name="PSWInput_7" localSheetId="5" hidden="1">#REF!</definedName>
    <definedName name="PSWInput_7" localSheetId="2" hidden="1">#REF!</definedName>
    <definedName name="PSWInput_7" localSheetId="0" hidden="1">#REF!</definedName>
    <definedName name="PSWInput_7" hidden="1">#REF!</definedName>
    <definedName name="PSWInput_70" localSheetId="10" hidden="1">#REF!</definedName>
    <definedName name="PSWInput_70" localSheetId="5" hidden="1">#REF!</definedName>
    <definedName name="PSWInput_70" localSheetId="2" hidden="1">#REF!</definedName>
    <definedName name="PSWInput_70" localSheetId="0" hidden="1">#REF!</definedName>
    <definedName name="PSWInput_70" hidden="1">#REF!</definedName>
    <definedName name="PSWInput_71" localSheetId="10" hidden="1">#REF!</definedName>
    <definedName name="PSWInput_71" localSheetId="5" hidden="1">#REF!</definedName>
    <definedName name="PSWInput_71" localSheetId="2" hidden="1">#REF!</definedName>
    <definedName name="PSWInput_71" localSheetId="0" hidden="1">#REF!</definedName>
    <definedName name="PSWInput_71" hidden="1">#REF!</definedName>
    <definedName name="PSWInput_72" localSheetId="10" hidden="1">#REF!</definedName>
    <definedName name="PSWInput_72" localSheetId="5" hidden="1">#REF!</definedName>
    <definedName name="PSWInput_72" localSheetId="2" hidden="1">#REF!</definedName>
    <definedName name="PSWInput_72" localSheetId="0" hidden="1">#REF!</definedName>
    <definedName name="PSWInput_72" hidden="1">#REF!</definedName>
    <definedName name="PSWInput_73" localSheetId="10" hidden="1">#REF!</definedName>
    <definedName name="PSWInput_73" localSheetId="5" hidden="1">#REF!</definedName>
    <definedName name="PSWInput_73" localSheetId="2" hidden="1">#REF!</definedName>
    <definedName name="PSWInput_73" localSheetId="0" hidden="1">#REF!</definedName>
    <definedName name="PSWInput_73" hidden="1">#REF!</definedName>
    <definedName name="PSWInput_74" localSheetId="10" hidden="1">#REF!</definedName>
    <definedName name="PSWInput_74" localSheetId="5" hidden="1">#REF!</definedName>
    <definedName name="PSWInput_74" localSheetId="2" hidden="1">#REF!</definedName>
    <definedName name="PSWInput_74" localSheetId="0" hidden="1">#REF!</definedName>
    <definedName name="PSWInput_74" hidden="1">#REF!</definedName>
    <definedName name="PSWInput_75" localSheetId="10" hidden="1">#REF!</definedName>
    <definedName name="PSWInput_75" localSheetId="5" hidden="1">#REF!</definedName>
    <definedName name="PSWInput_75" localSheetId="2" hidden="1">#REF!</definedName>
    <definedName name="PSWInput_75" localSheetId="0" hidden="1">#REF!</definedName>
    <definedName name="PSWInput_75" hidden="1">#REF!</definedName>
    <definedName name="PSWInput_76" localSheetId="10" hidden="1">#REF!</definedName>
    <definedName name="PSWInput_76" localSheetId="5" hidden="1">#REF!</definedName>
    <definedName name="PSWInput_76" localSheetId="2" hidden="1">#REF!</definedName>
    <definedName name="PSWInput_76" localSheetId="0" hidden="1">#REF!</definedName>
    <definedName name="PSWInput_76" hidden="1">#REF!</definedName>
    <definedName name="PSWInput_77" localSheetId="10" hidden="1">#REF!</definedName>
    <definedName name="PSWInput_77" localSheetId="5" hidden="1">#REF!</definedName>
    <definedName name="PSWInput_77" localSheetId="2" hidden="1">#REF!</definedName>
    <definedName name="PSWInput_77" localSheetId="0" hidden="1">#REF!</definedName>
    <definedName name="PSWInput_77" hidden="1">#REF!</definedName>
    <definedName name="PSWInput_78" localSheetId="10" hidden="1">#REF!</definedName>
    <definedName name="PSWInput_78" localSheetId="5" hidden="1">#REF!</definedName>
    <definedName name="PSWInput_78" localSheetId="2" hidden="1">#REF!</definedName>
    <definedName name="PSWInput_78" localSheetId="0" hidden="1">#REF!</definedName>
    <definedName name="PSWInput_78" hidden="1">#REF!</definedName>
    <definedName name="PSWInput_79" localSheetId="10" hidden="1">#REF!</definedName>
    <definedName name="PSWInput_79" localSheetId="5" hidden="1">#REF!</definedName>
    <definedName name="PSWInput_79" localSheetId="2" hidden="1">#REF!</definedName>
    <definedName name="PSWInput_79" localSheetId="0" hidden="1">#REF!</definedName>
    <definedName name="PSWInput_79" hidden="1">#REF!</definedName>
    <definedName name="PSWInput_8" localSheetId="10" hidden="1">#REF!</definedName>
    <definedName name="PSWInput_8" localSheetId="5" hidden="1">#REF!</definedName>
    <definedName name="PSWInput_8" localSheetId="2" hidden="1">#REF!</definedName>
    <definedName name="PSWInput_8" localSheetId="0" hidden="1">#REF!</definedName>
    <definedName name="PSWInput_8" hidden="1">#REF!</definedName>
    <definedName name="PSWInput_80" localSheetId="10" hidden="1">#REF!</definedName>
    <definedName name="PSWInput_80" localSheetId="5" hidden="1">#REF!</definedName>
    <definedName name="PSWInput_80" localSheetId="2" hidden="1">#REF!</definedName>
    <definedName name="PSWInput_80" localSheetId="0" hidden="1">#REF!</definedName>
    <definedName name="PSWInput_80" hidden="1">#REF!</definedName>
    <definedName name="PSWInput_81" localSheetId="10" hidden="1">#REF!</definedName>
    <definedName name="PSWInput_81" localSheetId="5" hidden="1">#REF!</definedName>
    <definedName name="PSWInput_81" localSheetId="2" hidden="1">#REF!</definedName>
    <definedName name="PSWInput_81" localSheetId="0" hidden="1">#REF!</definedName>
    <definedName name="PSWInput_81" hidden="1">#REF!</definedName>
    <definedName name="PSWInput_82" localSheetId="10" hidden="1">#REF!</definedName>
    <definedName name="PSWInput_82" localSheetId="5" hidden="1">#REF!</definedName>
    <definedName name="PSWInput_82" localSheetId="2" hidden="1">#REF!</definedName>
    <definedName name="PSWInput_82" localSheetId="0" hidden="1">#REF!</definedName>
    <definedName name="PSWInput_82" hidden="1">#REF!</definedName>
    <definedName name="PSWInput_83" localSheetId="10" hidden="1">#REF!</definedName>
    <definedName name="PSWInput_83" localSheetId="5" hidden="1">#REF!</definedName>
    <definedName name="PSWInput_83" localSheetId="2" hidden="1">#REF!</definedName>
    <definedName name="PSWInput_83" localSheetId="0" hidden="1">#REF!</definedName>
    <definedName name="PSWInput_83" hidden="1">#REF!</definedName>
    <definedName name="PSWInput_84" localSheetId="10" hidden="1">#REF!</definedName>
    <definedName name="PSWInput_84" localSheetId="5" hidden="1">#REF!</definedName>
    <definedName name="PSWInput_84" localSheetId="2" hidden="1">#REF!</definedName>
    <definedName name="PSWInput_84" localSheetId="0" hidden="1">#REF!</definedName>
    <definedName name="PSWInput_84" hidden="1">#REF!</definedName>
    <definedName name="PSWInput_85" localSheetId="10" hidden="1">#REF!</definedName>
    <definedName name="PSWInput_85" localSheetId="5" hidden="1">#REF!</definedName>
    <definedName name="PSWInput_85" localSheetId="2" hidden="1">#REF!</definedName>
    <definedName name="PSWInput_85" localSheetId="0" hidden="1">#REF!</definedName>
    <definedName name="PSWInput_85" hidden="1">#REF!</definedName>
    <definedName name="PSWInput_86" localSheetId="10" hidden="1">#REF!</definedName>
    <definedName name="PSWInput_86" localSheetId="5" hidden="1">#REF!</definedName>
    <definedName name="PSWInput_86" localSheetId="2" hidden="1">#REF!</definedName>
    <definedName name="PSWInput_86" localSheetId="0" hidden="1">#REF!</definedName>
    <definedName name="PSWInput_86" hidden="1">#REF!</definedName>
    <definedName name="PSWInput_87" localSheetId="10" hidden="1">#REF!</definedName>
    <definedName name="PSWInput_87" localSheetId="5" hidden="1">#REF!</definedName>
    <definedName name="PSWInput_87" localSheetId="2" hidden="1">#REF!</definedName>
    <definedName name="PSWInput_87" localSheetId="0" hidden="1">#REF!</definedName>
    <definedName name="PSWInput_87" hidden="1">#REF!</definedName>
    <definedName name="PSWInput_88" localSheetId="10" hidden="1">#REF!</definedName>
    <definedName name="PSWInput_88" localSheetId="5" hidden="1">#REF!</definedName>
    <definedName name="PSWInput_88" localSheetId="2" hidden="1">#REF!</definedName>
    <definedName name="PSWInput_88" localSheetId="0" hidden="1">#REF!</definedName>
    <definedName name="PSWInput_88" hidden="1">#REF!</definedName>
    <definedName name="PSWInput_89" localSheetId="10" hidden="1">#REF!</definedName>
    <definedName name="PSWInput_89" localSheetId="5" hidden="1">#REF!</definedName>
    <definedName name="PSWInput_89" localSheetId="2" hidden="1">#REF!</definedName>
    <definedName name="PSWInput_89" localSheetId="0" hidden="1">#REF!</definedName>
    <definedName name="PSWInput_89" hidden="1">#REF!</definedName>
    <definedName name="PSWInput_9" localSheetId="10" hidden="1">#REF!</definedName>
    <definedName name="PSWInput_9" localSheetId="5" hidden="1">#REF!</definedName>
    <definedName name="PSWInput_9" localSheetId="2" hidden="1">#REF!</definedName>
    <definedName name="PSWInput_9" localSheetId="0" hidden="1">#REF!</definedName>
    <definedName name="PSWInput_9" hidden="1">#REF!</definedName>
    <definedName name="PSWInput_90" localSheetId="10" hidden="1">#REF!</definedName>
    <definedName name="PSWInput_90" localSheetId="5" hidden="1">#REF!</definedName>
    <definedName name="PSWInput_90" localSheetId="2" hidden="1">#REF!</definedName>
    <definedName name="PSWInput_90" localSheetId="0" hidden="1">#REF!</definedName>
    <definedName name="PSWInput_90" hidden="1">#REF!</definedName>
    <definedName name="PSWInput_91" localSheetId="10" hidden="1">#REF!</definedName>
    <definedName name="PSWInput_91" localSheetId="5" hidden="1">#REF!</definedName>
    <definedName name="PSWInput_91" localSheetId="2" hidden="1">#REF!</definedName>
    <definedName name="PSWInput_91" localSheetId="0" hidden="1">#REF!</definedName>
    <definedName name="PSWInput_91" hidden="1">#REF!</definedName>
    <definedName name="PSWInput_92" localSheetId="10" hidden="1">#REF!</definedName>
    <definedName name="PSWInput_92" localSheetId="5" hidden="1">#REF!</definedName>
    <definedName name="PSWInput_92" localSheetId="2" hidden="1">#REF!</definedName>
    <definedName name="PSWInput_92" localSheetId="0" hidden="1">#REF!</definedName>
    <definedName name="PSWInput_92" hidden="1">#REF!</definedName>
    <definedName name="PSWInput_93" localSheetId="10" hidden="1">#REF!</definedName>
    <definedName name="PSWInput_93" localSheetId="5" hidden="1">#REF!</definedName>
    <definedName name="PSWInput_93" localSheetId="2" hidden="1">#REF!</definedName>
    <definedName name="PSWInput_93" localSheetId="0" hidden="1">#REF!</definedName>
    <definedName name="PSWInput_93" hidden="1">#REF!</definedName>
    <definedName name="PSWInput_94" localSheetId="10" hidden="1">#REF!</definedName>
    <definedName name="PSWInput_94" localSheetId="5" hidden="1">#REF!</definedName>
    <definedName name="PSWInput_94" localSheetId="2" hidden="1">#REF!</definedName>
    <definedName name="PSWInput_94" localSheetId="0" hidden="1">#REF!</definedName>
    <definedName name="PSWInput_94" hidden="1">#REF!</definedName>
    <definedName name="PSWInput_95" localSheetId="10" hidden="1">#REF!</definedName>
    <definedName name="PSWInput_95" localSheetId="5" hidden="1">#REF!</definedName>
    <definedName name="PSWInput_95" localSheetId="2" hidden="1">#REF!</definedName>
    <definedName name="PSWInput_95" localSheetId="0" hidden="1">#REF!</definedName>
    <definedName name="PSWInput_95" hidden="1">#REF!</definedName>
    <definedName name="PSWInput_96" localSheetId="10" hidden="1">#REF!</definedName>
    <definedName name="PSWInput_96" localSheetId="5" hidden="1">#REF!</definedName>
    <definedName name="PSWInput_96" localSheetId="2" hidden="1">#REF!</definedName>
    <definedName name="PSWInput_96" localSheetId="0" hidden="1">#REF!</definedName>
    <definedName name="PSWInput_96" hidden="1">#REF!</definedName>
    <definedName name="PSWInput_97" localSheetId="10" hidden="1">#REF!</definedName>
    <definedName name="PSWInput_97" localSheetId="5" hidden="1">#REF!</definedName>
    <definedName name="PSWInput_97" localSheetId="2" hidden="1">#REF!</definedName>
    <definedName name="PSWInput_97" localSheetId="0" hidden="1">#REF!</definedName>
    <definedName name="PSWInput_97" hidden="1">#REF!</definedName>
    <definedName name="PSWInput_98" localSheetId="10" hidden="1">#REF!</definedName>
    <definedName name="PSWInput_98" localSheetId="5" hidden="1">#REF!</definedName>
    <definedName name="PSWInput_98" localSheetId="2" hidden="1">#REF!</definedName>
    <definedName name="PSWInput_98" localSheetId="0" hidden="1">#REF!</definedName>
    <definedName name="PSWInput_98" hidden="1">#REF!</definedName>
    <definedName name="PSWInput_99" localSheetId="10" hidden="1">#REF!</definedName>
    <definedName name="PSWInput_99" localSheetId="5" hidden="1">#REF!</definedName>
    <definedName name="PSWInput_99" localSheetId="2" hidden="1">#REF!</definedName>
    <definedName name="PSWInput_99" localSheetId="0" hidden="1">#REF!</definedName>
    <definedName name="PSWInput_99" hidden="1">#REF!</definedName>
    <definedName name="PSWOutput" localSheetId="10" hidden="1">#REF!</definedName>
    <definedName name="PSWOutput" localSheetId="5" hidden="1">#REF!</definedName>
    <definedName name="PSWOutput" localSheetId="2" hidden="1">#REF!</definedName>
    <definedName name="PSWOutput" localSheetId="0" hidden="1">#REF!</definedName>
    <definedName name="PSWOutput" hidden="1">#REF!</definedName>
    <definedName name="SF_ADEQ" localSheetId="10">'[1]Славянска филология (полска)'!#REF!</definedName>
    <definedName name="SF_ADEQ" localSheetId="5">'[1]Славянска филология (полска)'!#REF!</definedName>
    <definedName name="SF_ADEQ" localSheetId="2">'[1]Славянска филология (полска)'!#REF!</definedName>
    <definedName name="SF_ADEQ">'[1]Славянска филология (полска)'!#REF!</definedName>
    <definedName name="statut">[1]statut!$A$34:$D$49</definedName>
    <definedName name="tabcombo">[1]statut!$A$34:$B$49</definedName>
    <definedName name="zo">[2]BF_ZONOLAST!$B$82</definedName>
    <definedName name="zocre">[2]BF_ZONOLAST!$B$83</definedName>
    <definedName name="възраст">[3]Възраст!$D$1</definedName>
    <definedName name="година1">'[4]2007 личен състав данни'!$P$1</definedName>
    <definedName name="година2">'[4]2008 личен състав данни'!$P$1</definedName>
    <definedName name="година3" localSheetId="2">'[5]2012 личен състав ОТД'!$P$1</definedName>
    <definedName name="година3">'[6]2010 личен състав данни'!$P$1</definedName>
    <definedName name="Години">'Български език и руски език'!$T$2</definedName>
    <definedName name="кредит">'[7]Приложна лингвистика (испански)'!$L$4</definedName>
    <definedName name="_xlnm.Print_Area" localSheetId="9">'Български език и история'!$A$1:$J$98</definedName>
    <definedName name="_xlnm.Print_Area" localSheetId="13">'Български език и китайски език'!$A$1:$J$100</definedName>
    <definedName name="_xlnm.Print_Area" localSheetId="7">'Български език и новогръцки'!$A$1:$J$97</definedName>
    <definedName name="_xlnm.Print_Area" localSheetId="4">'Български език и руски език'!$A$1:$J$95</definedName>
    <definedName name="_xlnm.Print_Area" localSheetId="12">'Български език и турски език'!$A$1:$J$94</definedName>
    <definedName name="_xlnm.Print_Area" localSheetId="6">'Български и английски език'!$A$1:$J$97</definedName>
    <definedName name="_xlnm.Print_Area" localSheetId="11">'Български и испански език'!$A$1:$J$94</definedName>
    <definedName name="_xlnm.Print_Area" localSheetId="10">'Български и история (ЗО нов)'!$A$1:$J$97</definedName>
    <definedName name="_xlnm.Print_Area" localSheetId="5">'Български и руски език (ЗО нов)'!$A$1:$J$94</definedName>
    <definedName name="_xlnm.Print_Area" localSheetId="2">'Възрастова структура'!$A$1:$G$28</definedName>
    <definedName name="_xlnm.Print_Area" localSheetId="3">Лист2!$A$1:$D$38</definedName>
    <definedName name="състав">[5]Съотношения!$G$37</definedName>
  </definedNames>
  <calcPr calcId="145621"/>
  <pivotCaches>
    <pivotCache cacheId="0" r:id="rId23"/>
  </pivotCaches>
</workbook>
</file>

<file path=xl/calcChain.xml><?xml version="1.0" encoding="utf-8"?>
<calcChain xmlns="http://schemas.openxmlformats.org/spreadsheetml/2006/main">
  <c r="T2" i="9" l="1"/>
  <c r="E6" i="18"/>
  <c r="C27" i="18"/>
  <c r="B27" i="18"/>
  <c r="C26" i="18"/>
  <c r="B26" i="18"/>
  <c r="C25" i="18"/>
  <c r="B25" i="18"/>
  <c r="C24" i="18"/>
  <c r="B24" i="18"/>
  <c r="E20" i="18"/>
  <c r="D20" i="18"/>
  <c r="C20" i="18"/>
  <c r="B20" i="18"/>
  <c r="E19" i="18"/>
  <c r="D19" i="18"/>
  <c r="C19" i="18"/>
  <c r="B19" i="18"/>
  <c r="E18" i="18"/>
  <c r="D18" i="18"/>
  <c r="C18" i="18"/>
  <c r="B18" i="18"/>
  <c r="E17" i="18"/>
  <c r="D17" i="18"/>
  <c r="C17" i="18"/>
  <c r="B17" i="18"/>
  <c r="D13" i="18"/>
  <c r="C13" i="18"/>
  <c r="B13" i="18"/>
  <c r="D12" i="18"/>
  <c r="C12" i="18"/>
  <c r="B12" i="18"/>
  <c r="D11" i="18"/>
  <c r="C11" i="18"/>
  <c r="B11" i="18"/>
  <c r="D10" i="18"/>
  <c r="C10" i="18"/>
  <c r="B10" i="18"/>
  <c r="F6" i="18"/>
  <c r="D6" i="18"/>
  <c r="C6" i="18"/>
  <c r="B6" i="18"/>
  <c r="F5" i="18"/>
  <c r="E5" i="18"/>
  <c r="D5" i="18"/>
  <c r="C5" i="18"/>
  <c r="B5" i="18"/>
  <c r="F4" i="18"/>
  <c r="E4" i="18"/>
  <c r="D4" i="18"/>
  <c r="C4" i="18"/>
  <c r="B4" i="18"/>
  <c r="F3" i="18"/>
  <c r="E3" i="18"/>
  <c r="D3" i="18"/>
  <c r="C3" i="18"/>
  <c r="B3" i="18"/>
  <c r="T2" i="8"/>
  <c r="T2" i="6"/>
  <c r="T2" i="11"/>
  <c r="T2" i="2"/>
  <c r="T2" i="10"/>
  <c r="T2" i="7"/>
  <c r="T2" i="1"/>
  <c r="T2" i="12"/>
  <c r="T2" i="5"/>
  <c r="T94" i="9" l="1"/>
  <c r="T93" i="9"/>
  <c r="T95" i="9"/>
  <c r="T89" i="7"/>
  <c r="D27" i="18" l="1"/>
  <c r="D26" i="18"/>
  <c r="D25" i="18"/>
  <c r="C28" i="18"/>
  <c r="B28" i="18"/>
  <c r="F20" i="18"/>
  <c r="F19" i="18"/>
  <c r="F18" i="18"/>
  <c r="E21" i="18"/>
  <c r="D21" i="18"/>
  <c r="C21" i="18"/>
  <c r="B21" i="18"/>
  <c r="E13" i="18"/>
  <c r="E12" i="18"/>
  <c r="E11" i="18"/>
  <c r="D14" i="18"/>
  <c r="C14" i="18"/>
  <c r="E10" i="18"/>
  <c r="E14" i="18" s="1"/>
  <c r="G6" i="18"/>
  <c r="G5" i="18"/>
  <c r="G4" i="18"/>
  <c r="F7" i="18"/>
  <c r="E7" i="18"/>
  <c r="D7" i="18"/>
  <c r="C7" i="18"/>
  <c r="G3" i="18"/>
  <c r="G7" i="18" l="1"/>
  <c r="B7" i="18"/>
  <c r="B14" i="18"/>
  <c r="F17" i="18"/>
  <c r="F21" i="18" s="1"/>
  <c r="D24" i="18"/>
  <c r="D28" i="18" s="1"/>
  <c r="O2" i="2" l="1"/>
  <c r="O2" i="1"/>
  <c r="O86" i="12" l="1"/>
  <c r="O69" i="12"/>
  <c r="O41" i="12"/>
  <c r="O38" i="12"/>
  <c r="O29" i="12"/>
  <c r="O27" i="12"/>
  <c r="O20" i="12"/>
  <c r="O19" i="12"/>
  <c r="O15" i="12"/>
  <c r="O13" i="12"/>
  <c r="O10" i="12"/>
  <c r="O9" i="12"/>
  <c r="O3" i="12"/>
  <c r="O2" i="12"/>
  <c r="O7" i="12"/>
  <c r="O8" i="12"/>
  <c r="O11" i="12"/>
  <c r="O12" i="12"/>
  <c r="O14" i="12"/>
  <c r="O18" i="12"/>
  <c r="O21" i="12"/>
  <c r="O22" i="12"/>
  <c r="O23" i="12"/>
  <c r="O25" i="12"/>
  <c r="O30" i="12"/>
  <c r="O32" i="12"/>
  <c r="O33" i="12"/>
  <c r="O34" i="12"/>
  <c r="O37" i="12"/>
  <c r="O39" i="12"/>
  <c r="O40" i="12"/>
  <c r="O42" i="12"/>
  <c r="O43" i="12"/>
  <c r="O44" i="12"/>
  <c r="O46" i="12"/>
  <c r="O47" i="12"/>
  <c r="O48" i="12"/>
  <c r="O49" i="12"/>
  <c r="O50" i="12"/>
  <c r="O52" i="12"/>
  <c r="O54" i="12"/>
  <c r="O55" i="12"/>
  <c r="O59" i="12"/>
  <c r="O62" i="12"/>
  <c r="O63" i="12"/>
  <c r="O64" i="12"/>
  <c r="O65" i="12"/>
  <c r="O66" i="12"/>
  <c r="O67" i="12"/>
  <c r="O68" i="12"/>
  <c r="O71" i="12"/>
  <c r="O72" i="12"/>
  <c r="O75" i="12"/>
  <c r="O76" i="12"/>
  <c r="O77" i="12"/>
  <c r="O78" i="12"/>
  <c r="O79" i="12"/>
  <c r="O81" i="12"/>
  <c r="O82" i="12"/>
  <c r="O83" i="12"/>
  <c r="O4" i="12"/>
  <c r="O5" i="12"/>
  <c r="N61" i="11"/>
  <c r="O2" i="11" l="1"/>
  <c r="O14" i="11"/>
  <c r="O16" i="11"/>
  <c r="O18" i="11"/>
  <c r="O19" i="11"/>
  <c r="O21" i="11"/>
  <c r="O22" i="11"/>
  <c r="O23" i="11"/>
  <c r="O24" i="11"/>
  <c r="O25" i="11"/>
  <c r="O26" i="11"/>
  <c r="O27" i="11"/>
  <c r="O29" i="11"/>
  <c r="O30" i="11"/>
  <c r="O31" i="11"/>
  <c r="O32" i="11"/>
  <c r="O33" i="11"/>
  <c r="O34" i="11"/>
  <c r="O35" i="11"/>
  <c r="O36" i="11"/>
  <c r="O37" i="11"/>
  <c r="O40" i="11"/>
  <c r="O41" i="11"/>
  <c r="O42" i="11"/>
  <c r="O43" i="11"/>
  <c r="O44" i="11"/>
  <c r="O46" i="11"/>
  <c r="O47" i="11"/>
  <c r="O48" i="11"/>
  <c r="O49" i="11"/>
  <c r="O51" i="11"/>
  <c r="O52" i="11"/>
  <c r="O53" i="11"/>
  <c r="O54" i="11"/>
  <c r="O55" i="11"/>
  <c r="O56" i="11"/>
  <c r="O58" i="11"/>
  <c r="O59" i="11"/>
  <c r="O60" i="11"/>
  <c r="O64" i="11"/>
  <c r="O66" i="11"/>
  <c r="O67" i="11"/>
  <c r="O68" i="11"/>
  <c r="O70" i="11"/>
  <c r="O71" i="11"/>
  <c r="O72" i="11"/>
  <c r="O73" i="11"/>
  <c r="O74" i="11"/>
  <c r="O75" i="11"/>
  <c r="O76" i="11"/>
  <c r="O78" i="11"/>
  <c r="O79" i="11"/>
  <c r="O80" i="11"/>
  <c r="O81" i="11"/>
  <c r="O82" i="11"/>
  <c r="O84" i="11"/>
  <c r="O85" i="11"/>
  <c r="O86" i="11"/>
  <c r="O87" i="11"/>
  <c r="O88" i="11"/>
  <c r="O4" i="11"/>
  <c r="O5" i="11"/>
  <c r="O6" i="11"/>
  <c r="O7" i="11"/>
  <c r="O9" i="11"/>
  <c r="O10" i="11"/>
  <c r="O11" i="11"/>
  <c r="O12" i="11"/>
  <c r="O13" i="11"/>
  <c r="O3" i="11"/>
  <c r="H38" i="10" l="1"/>
  <c r="G38" i="10" s="1"/>
  <c r="F38" i="10"/>
  <c r="K4" i="10" l="1"/>
  <c r="L4" i="10"/>
  <c r="K5" i="10"/>
  <c r="L5" i="10"/>
  <c r="K6" i="10"/>
  <c r="L6" i="10"/>
  <c r="K7" i="10"/>
  <c r="L7" i="10"/>
  <c r="M7" i="10"/>
  <c r="K8" i="10"/>
  <c r="L8" i="10"/>
  <c r="K9" i="10"/>
  <c r="L9" i="10"/>
  <c r="K10" i="10"/>
  <c r="L10" i="10"/>
  <c r="K11" i="10"/>
  <c r="L11" i="10"/>
  <c r="M11" i="10"/>
  <c r="K12" i="10"/>
  <c r="L12" i="10"/>
  <c r="M12" i="10"/>
  <c r="K13" i="10"/>
  <c r="L13" i="10"/>
  <c r="K14" i="10"/>
  <c r="L14" i="10"/>
  <c r="K15" i="10"/>
  <c r="L15" i="10"/>
  <c r="K16" i="10"/>
  <c r="L16" i="10"/>
  <c r="K17" i="10"/>
  <c r="L17" i="10"/>
  <c r="K18" i="10"/>
  <c r="L18" i="10"/>
  <c r="K19" i="10"/>
  <c r="L19" i="10"/>
  <c r="K20" i="10"/>
  <c r="L20" i="10"/>
  <c r="K21" i="10"/>
  <c r="L21" i="10"/>
  <c r="K22" i="10"/>
  <c r="L22" i="10"/>
  <c r="M22" i="10"/>
  <c r="K23" i="10"/>
  <c r="L23" i="10"/>
  <c r="M23" i="10"/>
  <c r="K24" i="10"/>
  <c r="L24" i="10"/>
  <c r="K25" i="10"/>
  <c r="L25" i="10"/>
  <c r="K26" i="10"/>
  <c r="L26" i="10"/>
  <c r="K27" i="10"/>
  <c r="L27" i="10"/>
  <c r="K28" i="10"/>
  <c r="L28" i="10"/>
  <c r="K29" i="10"/>
  <c r="L29" i="10"/>
  <c r="K30" i="10"/>
  <c r="L30" i="10"/>
  <c r="K31" i="10"/>
  <c r="L31" i="10"/>
  <c r="K32" i="10"/>
  <c r="L32" i="10"/>
  <c r="K33" i="10"/>
  <c r="L33" i="10"/>
  <c r="K34" i="10"/>
  <c r="L34" i="10"/>
  <c r="M34" i="10"/>
  <c r="K35" i="10"/>
  <c r="L35" i="10"/>
  <c r="M35" i="10"/>
  <c r="K36" i="10"/>
  <c r="L36" i="10"/>
  <c r="K37" i="10"/>
  <c r="L37" i="10"/>
  <c r="K38" i="10"/>
  <c r="L38" i="10"/>
  <c r="K39" i="10"/>
  <c r="L39" i="10"/>
  <c r="K40" i="10"/>
  <c r="L40" i="10"/>
  <c r="K41" i="10"/>
  <c r="L41" i="10"/>
  <c r="K42" i="10"/>
  <c r="L42" i="10"/>
  <c r="K43" i="10"/>
  <c r="L43" i="10"/>
  <c r="K44" i="10"/>
  <c r="L44" i="10"/>
  <c r="K45" i="10"/>
  <c r="L45" i="10"/>
  <c r="M45" i="10"/>
  <c r="K46" i="10"/>
  <c r="L46" i="10"/>
  <c r="M46" i="10"/>
  <c r="K47" i="10"/>
  <c r="L47" i="10"/>
  <c r="M47" i="10"/>
  <c r="K48" i="10"/>
  <c r="L48" i="10"/>
  <c r="K49" i="10"/>
  <c r="L49" i="10"/>
  <c r="K50" i="10"/>
  <c r="L50" i="10"/>
  <c r="K51" i="10"/>
  <c r="L51" i="10"/>
  <c r="K52" i="10"/>
  <c r="L52" i="10"/>
  <c r="K53" i="10"/>
  <c r="L53" i="10"/>
  <c r="K54" i="10"/>
  <c r="L54" i="10"/>
  <c r="K55" i="10"/>
  <c r="L55" i="10"/>
  <c r="K56" i="10"/>
  <c r="L56" i="10"/>
  <c r="K57" i="10"/>
  <c r="L57" i="10"/>
  <c r="K58" i="10"/>
  <c r="L58" i="10"/>
  <c r="M58" i="10"/>
  <c r="K59" i="10"/>
  <c r="L59" i="10"/>
  <c r="M59" i="10"/>
  <c r="K60" i="10"/>
  <c r="L60" i="10"/>
  <c r="K61" i="10"/>
  <c r="L61" i="10"/>
  <c r="K62" i="10"/>
  <c r="L62" i="10"/>
  <c r="K63" i="10"/>
  <c r="L63" i="10"/>
  <c r="K64" i="10"/>
  <c r="L64" i="10"/>
  <c r="K65" i="10"/>
  <c r="L65" i="10"/>
  <c r="K66" i="10"/>
  <c r="L66" i="10"/>
  <c r="K67" i="10"/>
  <c r="L67" i="10"/>
  <c r="K68" i="10"/>
  <c r="L68" i="10"/>
  <c r="K69" i="10"/>
  <c r="L69" i="10"/>
  <c r="K70" i="10"/>
  <c r="L70" i="10"/>
  <c r="M70" i="10"/>
  <c r="K71" i="10"/>
  <c r="L71" i="10"/>
  <c r="M71" i="10"/>
  <c r="K72" i="10"/>
  <c r="L72" i="10"/>
  <c r="K73" i="10"/>
  <c r="L73" i="10"/>
  <c r="K74" i="10"/>
  <c r="L74" i="10"/>
  <c r="K75" i="10"/>
  <c r="L75" i="10"/>
  <c r="K76" i="10"/>
  <c r="L76" i="10"/>
  <c r="K77" i="10"/>
  <c r="L77" i="10"/>
  <c r="K78" i="10"/>
  <c r="L78" i="10"/>
  <c r="K79" i="10"/>
  <c r="L79" i="10"/>
  <c r="K80" i="10"/>
  <c r="L80" i="10"/>
  <c r="K81" i="10"/>
  <c r="L81" i="10"/>
  <c r="K82" i="10"/>
  <c r="L82" i="10"/>
  <c r="K83" i="10"/>
  <c r="L83" i="10"/>
  <c r="M83" i="10"/>
  <c r="K84" i="10"/>
  <c r="L84" i="10"/>
  <c r="M84" i="10"/>
  <c r="K85" i="10"/>
  <c r="L85" i="10"/>
  <c r="K86" i="10"/>
  <c r="L86" i="10"/>
  <c r="K87" i="10"/>
  <c r="L87" i="10"/>
  <c r="K88" i="10"/>
  <c r="L88" i="10"/>
  <c r="K89" i="10"/>
  <c r="L89" i="10"/>
  <c r="K90" i="10"/>
  <c r="L90" i="10"/>
  <c r="K91" i="10"/>
  <c r="L91" i="10"/>
  <c r="K92" i="10"/>
  <c r="L92" i="10"/>
  <c r="K93" i="10"/>
  <c r="L93" i="10"/>
  <c r="L3" i="10"/>
  <c r="K3" i="10"/>
  <c r="O5" i="10"/>
  <c r="O7" i="10"/>
  <c r="O11" i="10"/>
  <c r="O16" i="10"/>
  <c r="O22" i="10"/>
  <c r="O29" i="10"/>
  <c r="O34" i="10"/>
  <c r="O40" i="10"/>
  <c r="O42" i="10"/>
  <c r="O44" i="10"/>
  <c r="O45" i="10"/>
  <c r="O46" i="10"/>
  <c r="O53" i="10"/>
  <c r="O55" i="10"/>
  <c r="O58" i="10"/>
  <c r="O63" i="10"/>
  <c r="O65" i="10"/>
  <c r="O68" i="10"/>
  <c r="O70" i="10"/>
  <c r="O78" i="10"/>
  <c r="O82" i="10"/>
  <c r="O83" i="10"/>
  <c r="O88" i="10"/>
  <c r="O89" i="10"/>
  <c r="O2" i="10"/>
  <c r="R4" i="9" l="1"/>
  <c r="O2" i="9"/>
  <c r="O5" i="9"/>
  <c r="O7" i="9"/>
  <c r="O11" i="9"/>
  <c r="O16" i="9"/>
  <c r="O18" i="9"/>
  <c r="O23" i="9"/>
  <c r="O29" i="9"/>
  <c r="O34" i="9"/>
  <c r="O40" i="9"/>
  <c r="O42" i="9"/>
  <c r="O44" i="9"/>
  <c r="O45" i="9"/>
  <c r="O51" i="9"/>
  <c r="O53" i="9"/>
  <c r="O56" i="9"/>
  <c r="O57" i="9"/>
  <c r="O62" i="9"/>
  <c r="O64" i="9"/>
  <c r="O67" i="9"/>
  <c r="O69" i="9"/>
  <c r="O77" i="9"/>
  <c r="O81" i="9"/>
  <c r="O82" i="9"/>
  <c r="O87" i="9"/>
  <c r="O88" i="9"/>
  <c r="N50" i="8"/>
  <c r="N40" i="8"/>
  <c r="O2" i="8"/>
  <c r="O5" i="8"/>
  <c r="O6" i="8"/>
  <c r="O11" i="8"/>
  <c r="O16" i="8"/>
  <c r="O20" i="8"/>
  <c r="O25" i="8"/>
  <c r="O31" i="8"/>
  <c r="O36" i="8"/>
  <c r="O42" i="8"/>
  <c r="O43" i="8"/>
  <c r="O52" i="8"/>
  <c r="O55" i="8"/>
  <c r="O61" i="8"/>
  <c r="O65" i="8"/>
  <c r="O68" i="8"/>
  <c r="O75" i="8"/>
  <c r="O77" i="8"/>
  <c r="O78" i="8"/>
  <c r="O82" i="8"/>
  <c r="O84" i="8"/>
  <c r="O87" i="8"/>
  <c r="O2" i="7"/>
  <c r="O3" i="6"/>
  <c r="O3" i="9" s="1"/>
  <c r="O2" i="6"/>
  <c r="O4" i="6"/>
  <c r="O5" i="6"/>
  <c r="O7" i="6"/>
  <c r="O7" i="8" s="1"/>
  <c r="O8" i="6"/>
  <c r="O9" i="6"/>
  <c r="O10" i="6"/>
  <c r="O11" i="6"/>
  <c r="O12" i="6"/>
  <c r="O13" i="6"/>
  <c r="O14" i="6"/>
  <c r="O16" i="6"/>
  <c r="O17" i="6"/>
  <c r="O18" i="6"/>
  <c r="O20" i="6"/>
  <c r="O21" i="6"/>
  <c r="O22" i="6"/>
  <c r="O23" i="6"/>
  <c r="O25" i="6"/>
  <c r="O27" i="6"/>
  <c r="O28" i="6"/>
  <c r="O29" i="6"/>
  <c r="O30" i="6"/>
  <c r="O32" i="6"/>
  <c r="O33" i="6"/>
  <c r="O34" i="6"/>
  <c r="O35" i="6"/>
  <c r="O39" i="6"/>
  <c r="O40" i="6"/>
  <c r="O41" i="6"/>
  <c r="O42" i="6"/>
  <c r="O43" i="6"/>
  <c r="O44" i="6"/>
  <c r="O45" i="6"/>
  <c r="O47" i="6"/>
  <c r="O48" i="6"/>
  <c r="O49" i="6"/>
  <c r="O50" i="6"/>
  <c r="O51" i="6"/>
  <c r="O52" i="6"/>
  <c r="O55" i="6"/>
  <c r="O56" i="6"/>
  <c r="O60" i="6"/>
  <c r="O61" i="6"/>
  <c r="O64" i="6"/>
  <c r="O65" i="6"/>
  <c r="O66" i="6"/>
  <c r="O67" i="6"/>
  <c r="O68" i="6"/>
  <c r="O69" i="6"/>
  <c r="O70" i="6"/>
  <c r="O76" i="10" s="1"/>
  <c r="O71" i="6"/>
  <c r="O73" i="6"/>
  <c r="O76" i="6"/>
  <c r="O77" i="6"/>
  <c r="O78" i="6"/>
  <c r="O79" i="6"/>
  <c r="O82" i="6"/>
  <c r="O83" i="6"/>
  <c r="O84" i="6"/>
  <c r="O85" i="6"/>
  <c r="O38" i="6"/>
  <c r="O38" i="5"/>
  <c r="O36" i="12" s="1"/>
  <c r="P40" i="5"/>
  <c r="T40" i="5" s="1"/>
  <c r="O86" i="5"/>
  <c r="O85" i="12" s="1"/>
  <c r="O71" i="5"/>
  <c r="O70" i="12" s="1"/>
  <c r="O30" i="5"/>
  <c r="O28" i="12" s="1"/>
  <c r="O28" i="5"/>
  <c r="O26" i="12" s="1"/>
  <c r="O26" i="5"/>
  <c r="O24" i="12" s="1"/>
  <c r="R3" i="5"/>
  <c r="O2" i="5"/>
  <c r="O74" i="8" l="1"/>
  <c r="O81" i="10"/>
  <c r="O75" i="7"/>
  <c r="O77" i="10"/>
  <c r="O66" i="8"/>
  <c r="O71" i="10"/>
  <c r="O62" i="8"/>
  <c r="O66" i="10"/>
  <c r="O88" i="7"/>
  <c r="O93" i="10"/>
  <c r="O83" i="8"/>
  <c r="O90" i="10"/>
  <c r="O79" i="8"/>
  <c r="O84" i="10"/>
  <c r="O73" i="9"/>
  <c r="O74" i="10"/>
  <c r="O63" i="8"/>
  <c r="O69" i="10"/>
  <c r="O76" i="8"/>
  <c r="O67" i="10"/>
  <c r="O48" i="8"/>
  <c r="O51" i="10"/>
  <c r="O46" i="8"/>
  <c r="O49" i="10"/>
  <c r="O43" i="9"/>
  <c r="O43" i="10"/>
  <c r="O17" i="8"/>
  <c r="O19" i="10"/>
  <c r="O36" i="10"/>
  <c r="O30" i="7"/>
  <c r="O32" i="10"/>
  <c r="O21" i="8"/>
  <c r="O23" i="10"/>
  <c r="O30" i="8"/>
  <c r="O21" i="10"/>
  <c r="O33" i="10"/>
  <c r="O14" i="7"/>
  <c r="O13" i="10"/>
  <c r="O12" i="8"/>
  <c r="O12" i="10"/>
  <c r="O11" i="7"/>
  <c r="O9" i="10"/>
  <c r="O8" i="8"/>
  <c r="O20" i="10"/>
  <c r="O37" i="7"/>
  <c r="O38" i="10"/>
  <c r="O56" i="8"/>
  <c r="O59" i="10"/>
  <c r="O86" i="8"/>
  <c r="O91" i="10"/>
  <c r="O44" i="8"/>
  <c r="O47" i="10"/>
  <c r="O39" i="7"/>
  <c r="O52" i="10"/>
  <c r="O41" i="10"/>
  <c r="O32" i="8"/>
  <c r="O35" i="10"/>
  <c r="O28" i="7"/>
  <c r="O30" i="10"/>
  <c r="O26" i="8"/>
  <c r="O28" i="10"/>
  <c r="O25" i="9"/>
  <c r="O24" i="10"/>
  <c r="O20" i="7"/>
  <c r="O18" i="10"/>
  <c r="O16" i="7"/>
  <c r="O15" i="10"/>
  <c r="O27" i="10"/>
  <c r="O10" i="7"/>
  <c r="O8" i="10"/>
  <c r="O4" i="8"/>
  <c r="O4" i="10"/>
  <c r="O3" i="7"/>
  <c r="O3" i="10"/>
  <c r="O3" i="8"/>
  <c r="O92" i="9"/>
  <c r="O90" i="9"/>
  <c r="O80" i="9"/>
  <c r="O76" i="9"/>
  <c r="O70" i="9"/>
  <c r="O68" i="9"/>
  <c r="O66" i="9"/>
  <c r="O58" i="9"/>
  <c r="O50" i="9"/>
  <c r="O48" i="9"/>
  <c r="O46" i="9"/>
  <c r="O38" i="9"/>
  <c r="O36" i="9"/>
  <c r="O32" i="9"/>
  <c r="O30" i="9"/>
  <c r="O28" i="9"/>
  <c r="O24" i="9"/>
  <c r="O22" i="9"/>
  <c r="O20" i="9"/>
  <c r="O13" i="9"/>
  <c r="O9" i="9"/>
  <c r="O89" i="9"/>
  <c r="O83" i="9"/>
  <c r="O65" i="9"/>
  <c r="O41" i="9"/>
  <c r="O35" i="9"/>
  <c r="O33" i="9"/>
  <c r="O21" i="9"/>
  <c r="O19" i="9"/>
  <c r="O15" i="9"/>
  <c r="O12" i="9"/>
  <c r="O10" i="9"/>
  <c r="O8" i="9"/>
  <c r="O4" i="9"/>
  <c r="O85" i="8"/>
  <c r="O67" i="8"/>
  <c r="O51" i="8"/>
  <c r="O37" i="8"/>
  <c r="O35" i="8"/>
  <c r="O28" i="8"/>
  <c r="O19" i="8"/>
  <c r="O15" i="8"/>
  <c r="O10" i="8"/>
  <c r="O70" i="8"/>
  <c r="O27" i="8"/>
  <c r="O18" i="8"/>
  <c r="O13" i="8"/>
  <c r="O9" i="8"/>
  <c r="N89" i="2" l="1"/>
  <c r="Q69" i="2" l="1"/>
  <c r="P20" i="2" l="1"/>
  <c r="T20" i="2" s="1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3" i="10"/>
  <c r="K4" i="2"/>
  <c r="L4" i="2"/>
  <c r="N4" i="2"/>
  <c r="P4" i="2"/>
  <c r="T4" i="2" s="1"/>
  <c r="Q4" i="2"/>
  <c r="R4" i="2"/>
  <c r="K5" i="2"/>
  <c r="L5" i="2"/>
  <c r="M5" i="2"/>
  <c r="N5" i="2"/>
  <c r="P5" i="2"/>
  <c r="T5" i="2" s="1"/>
  <c r="Q5" i="2"/>
  <c r="R5" i="2"/>
  <c r="K6" i="2"/>
  <c r="L6" i="2"/>
  <c r="M6" i="2"/>
  <c r="N6" i="2"/>
  <c r="P6" i="2"/>
  <c r="T6" i="2" s="1"/>
  <c r="Q6" i="2"/>
  <c r="R6" i="2"/>
  <c r="K7" i="2"/>
  <c r="L7" i="2"/>
  <c r="N7" i="2"/>
  <c r="P7" i="2"/>
  <c r="T7" i="2" s="1"/>
  <c r="Q7" i="2"/>
  <c r="R7" i="2"/>
  <c r="K8" i="2"/>
  <c r="L8" i="2"/>
  <c r="N8" i="2"/>
  <c r="P8" i="2"/>
  <c r="T8" i="2" s="1"/>
  <c r="Q8" i="2"/>
  <c r="R8" i="2"/>
  <c r="K9" i="2"/>
  <c r="L9" i="2"/>
  <c r="M9" i="2"/>
  <c r="N9" i="2"/>
  <c r="P9" i="2"/>
  <c r="T9" i="2" s="1"/>
  <c r="Q9" i="2"/>
  <c r="R9" i="2"/>
  <c r="K10" i="2"/>
  <c r="L10" i="2"/>
  <c r="N10" i="2"/>
  <c r="P10" i="2"/>
  <c r="T10" i="2" s="1"/>
  <c r="Q10" i="2"/>
  <c r="R10" i="2"/>
  <c r="K11" i="2"/>
  <c r="L11" i="2"/>
  <c r="M11" i="2"/>
  <c r="N11" i="2"/>
  <c r="P11" i="2"/>
  <c r="T11" i="2" s="1"/>
  <c r="Q11" i="2"/>
  <c r="R11" i="2"/>
  <c r="K12" i="2"/>
  <c r="L12" i="2"/>
  <c r="M12" i="2"/>
  <c r="N12" i="2"/>
  <c r="P12" i="2"/>
  <c r="T12" i="2" s="1"/>
  <c r="Q12" i="2"/>
  <c r="R12" i="2"/>
  <c r="K13" i="2"/>
  <c r="L13" i="2"/>
  <c r="M13" i="2"/>
  <c r="N13" i="2"/>
  <c r="P13" i="2"/>
  <c r="T13" i="2" s="1"/>
  <c r="Q13" i="2"/>
  <c r="R13" i="2"/>
  <c r="K14" i="2"/>
  <c r="L14" i="2"/>
  <c r="M14" i="2"/>
  <c r="N14" i="2"/>
  <c r="P14" i="2"/>
  <c r="T14" i="2" s="1"/>
  <c r="Q14" i="2"/>
  <c r="R14" i="2"/>
  <c r="K15" i="2"/>
  <c r="L15" i="2"/>
  <c r="N15" i="2"/>
  <c r="P15" i="2"/>
  <c r="T15" i="2" s="1"/>
  <c r="Q15" i="2"/>
  <c r="R15" i="2"/>
  <c r="K16" i="2"/>
  <c r="L16" i="2"/>
  <c r="M16" i="2"/>
  <c r="N16" i="2"/>
  <c r="P16" i="2"/>
  <c r="T16" i="2" s="1"/>
  <c r="Q16" i="2"/>
  <c r="R16" i="2"/>
  <c r="K17" i="2"/>
  <c r="L17" i="2"/>
  <c r="M17" i="2"/>
  <c r="N17" i="2"/>
  <c r="P17" i="2"/>
  <c r="T17" i="2" s="1"/>
  <c r="Q17" i="2"/>
  <c r="R17" i="2"/>
  <c r="K18" i="2"/>
  <c r="L18" i="2"/>
  <c r="N18" i="2"/>
  <c r="P18" i="2"/>
  <c r="T18" i="2" s="1"/>
  <c r="Q18" i="2"/>
  <c r="R18" i="2"/>
  <c r="K19" i="2"/>
  <c r="L19" i="2"/>
  <c r="N19" i="2"/>
  <c r="P19" i="2"/>
  <c r="T19" i="2" s="1"/>
  <c r="Q19" i="2"/>
  <c r="R19" i="2"/>
  <c r="K20" i="2"/>
  <c r="L20" i="2"/>
  <c r="N20" i="2"/>
  <c r="Q20" i="2"/>
  <c r="R20" i="2"/>
  <c r="K21" i="2"/>
  <c r="L21" i="2"/>
  <c r="M21" i="2"/>
  <c r="N21" i="2"/>
  <c r="P21" i="2"/>
  <c r="T21" i="2" s="1"/>
  <c r="Q21" i="2"/>
  <c r="R21" i="2"/>
  <c r="K22" i="2"/>
  <c r="L22" i="2"/>
  <c r="M22" i="2"/>
  <c r="N22" i="2"/>
  <c r="P22" i="2"/>
  <c r="T22" i="2" s="1"/>
  <c r="Q22" i="2"/>
  <c r="R22" i="2"/>
  <c r="K23" i="2"/>
  <c r="L23" i="2"/>
  <c r="N23" i="2"/>
  <c r="P23" i="2"/>
  <c r="T23" i="2" s="1"/>
  <c r="Q23" i="2"/>
  <c r="R23" i="2"/>
  <c r="K24" i="2"/>
  <c r="L24" i="2"/>
  <c r="M24" i="2"/>
  <c r="N24" i="2"/>
  <c r="P24" i="2"/>
  <c r="T24" i="2" s="1"/>
  <c r="Q24" i="2"/>
  <c r="R24" i="2"/>
  <c r="K25" i="2"/>
  <c r="L25" i="2"/>
  <c r="M25" i="2"/>
  <c r="N25" i="2"/>
  <c r="P25" i="2"/>
  <c r="T25" i="2" s="1"/>
  <c r="Q25" i="2"/>
  <c r="R25" i="2"/>
  <c r="K26" i="2"/>
  <c r="L26" i="2"/>
  <c r="M26" i="2"/>
  <c r="N26" i="2"/>
  <c r="P26" i="2"/>
  <c r="T26" i="2" s="1"/>
  <c r="Q26" i="2"/>
  <c r="R26" i="2"/>
  <c r="K27" i="2"/>
  <c r="L27" i="2"/>
  <c r="N27" i="2"/>
  <c r="P27" i="2"/>
  <c r="T27" i="2" s="1"/>
  <c r="Q27" i="2"/>
  <c r="R27" i="2"/>
  <c r="K28" i="2"/>
  <c r="L28" i="2"/>
  <c r="M28" i="2"/>
  <c r="N28" i="2"/>
  <c r="P28" i="2"/>
  <c r="T28" i="2" s="1"/>
  <c r="Q28" i="2"/>
  <c r="R28" i="2"/>
  <c r="K29" i="2"/>
  <c r="L29" i="2"/>
  <c r="N29" i="2"/>
  <c r="P29" i="2"/>
  <c r="T29" i="2" s="1"/>
  <c r="Q29" i="2"/>
  <c r="R29" i="2"/>
  <c r="K30" i="2"/>
  <c r="L30" i="2"/>
  <c r="N30" i="2"/>
  <c r="P30" i="2"/>
  <c r="T30" i="2" s="1"/>
  <c r="Q30" i="2"/>
  <c r="R30" i="2"/>
  <c r="K31" i="2"/>
  <c r="L31" i="2"/>
  <c r="N31" i="2"/>
  <c r="P31" i="2"/>
  <c r="T31" i="2" s="1"/>
  <c r="Q31" i="2"/>
  <c r="R31" i="2"/>
  <c r="K32" i="2"/>
  <c r="L32" i="2"/>
  <c r="M32" i="2"/>
  <c r="N32" i="2"/>
  <c r="P32" i="2"/>
  <c r="T32" i="2" s="1"/>
  <c r="Q32" i="2"/>
  <c r="R32" i="2"/>
  <c r="K33" i="2"/>
  <c r="L33" i="2"/>
  <c r="M33" i="2"/>
  <c r="N33" i="2"/>
  <c r="P33" i="2"/>
  <c r="T33" i="2" s="1"/>
  <c r="Q33" i="2"/>
  <c r="R33" i="2"/>
  <c r="K34" i="2"/>
  <c r="L34" i="2"/>
  <c r="N34" i="2"/>
  <c r="P34" i="2"/>
  <c r="T34" i="2" s="1"/>
  <c r="Q34" i="2"/>
  <c r="R34" i="2"/>
  <c r="K35" i="2"/>
  <c r="L35" i="2"/>
  <c r="M35" i="2"/>
  <c r="N35" i="2"/>
  <c r="P35" i="2"/>
  <c r="T35" i="2" s="1"/>
  <c r="Q35" i="2"/>
  <c r="R35" i="2"/>
  <c r="K36" i="2"/>
  <c r="L36" i="2"/>
  <c r="M36" i="2"/>
  <c r="N36" i="2"/>
  <c r="P36" i="2"/>
  <c r="T36" i="2" s="1"/>
  <c r="Q36" i="2"/>
  <c r="R36" i="2"/>
  <c r="K37" i="2"/>
  <c r="L37" i="2"/>
  <c r="M37" i="2"/>
  <c r="N37" i="2"/>
  <c r="P37" i="2"/>
  <c r="T37" i="2" s="1"/>
  <c r="Q37" i="2"/>
  <c r="R37" i="2"/>
  <c r="K38" i="2"/>
  <c r="L38" i="2"/>
  <c r="M38" i="2"/>
  <c r="N38" i="2"/>
  <c r="P38" i="2"/>
  <c r="T38" i="2" s="1"/>
  <c r="Q38" i="2"/>
  <c r="R38" i="2"/>
  <c r="K39" i="2"/>
  <c r="L39" i="2"/>
  <c r="M39" i="2"/>
  <c r="N39" i="2"/>
  <c r="P39" i="2"/>
  <c r="T39" i="2" s="1"/>
  <c r="Q39" i="2"/>
  <c r="R39" i="2"/>
  <c r="K40" i="2"/>
  <c r="L40" i="2"/>
  <c r="M40" i="2"/>
  <c r="N40" i="2"/>
  <c r="P40" i="2"/>
  <c r="T40" i="2" s="1"/>
  <c r="Q40" i="2"/>
  <c r="R40" i="2"/>
  <c r="K41" i="2"/>
  <c r="L41" i="2"/>
  <c r="N41" i="2"/>
  <c r="P41" i="2"/>
  <c r="T41" i="2" s="1"/>
  <c r="Q41" i="2"/>
  <c r="R41" i="2"/>
  <c r="K42" i="2"/>
  <c r="L42" i="2"/>
  <c r="N42" i="2"/>
  <c r="P42" i="2"/>
  <c r="T42" i="2" s="1"/>
  <c r="Q42" i="2"/>
  <c r="R42" i="2"/>
  <c r="K43" i="2"/>
  <c r="L43" i="2"/>
  <c r="N43" i="2"/>
  <c r="P43" i="2"/>
  <c r="T43" i="2" s="1"/>
  <c r="Q43" i="2"/>
  <c r="R43" i="2"/>
  <c r="K44" i="2"/>
  <c r="L44" i="2"/>
  <c r="N44" i="2"/>
  <c r="P44" i="2"/>
  <c r="T44" i="2" s="1"/>
  <c r="Q44" i="2"/>
  <c r="R44" i="2"/>
  <c r="K45" i="2"/>
  <c r="L45" i="2"/>
  <c r="M45" i="2"/>
  <c r="N45" i="2"/>
  <c r="P45" i="2"/>
  <c r="T45" i="2" s="1"/>
  <c r="Q45" i="2"/>
  <c r="R45" i="2"/>
  <c r="K46" i="2"/>
  <c r="L46" i="2"/>
  <c r="M46" i="2"/>
  <c r="N46" i="2"/>
  <c r="P46" i="2"/>
  <c r="T46" i="2" s="1"/>
  <c r="Q46" i="2"/>
  <c r="R46" i="2"/>
  <c r="K47" i="2"/>
  <c r="L47" i="2"/>
  <c r="N47" i="2"/>
  <c r="P47" i="2"/>
  <c r="T47" i="2" s="1"/>
  <c r="Q47" i="2"/>
  <c r="R47" i="2"/>
  <c r="K48" i="2"/>
  <c r="L48" i="2"/>
  <c r="M48" i="2"/>
  <c r="N48" i="2"/>
  <c r="P48" i="2"/>
  <c r="T48" i="2" s="1"/>
  <c r="Q48" i="2"/>
  <c r="R48" i="2"/>
  <c r="K49" i="2"/>
  <c r="L49" i="2"/>
  <c r="M49" i="2"/>
  <c r="N49" i="2"/>
  <c r="P49" i="2"/>
  <c r="T49" i="2" s="1"/>
  <c r="Q49" i="2"/>
  <c r="R49" i="2"/>
  <c r="K50" i="2"/>
  <c r="L50" i="2"/>
  <c r="M50" i="2"/>
  <c r="N50" i="2"/>
  <c r="P50" i="2"/>
  <c r="T50" i="2" s="1"/>
  <c r="Q50" i="2"/>
  <c r="R50" i="2"/>
  <c r="K51" i="2"/>
  <c r="L51" i="2"/>
  <c r="M51" i="2"/>
  <c r="N51" i="2"/>
  <c r="P51" i="2"/>
  <c r="T51" i="2" s="1"/>
  <c r="Q51" i="2"/>
  <c r="R51" i="2"/>
  <c r="K52" i="2"/>
  <c r="L52" i="2"/>
  <c r="M52" i="2"/>
  <c r="N52" i="2"/>
  <c r="P52" i="2"/>
  <c r="T52" i="2" s="1"/>
  <c r="Q52" i="2"/>
  <c r="R52" i="2"/>
  <c r="K53" i="2"/>
  <c r="L53" i="2"/>
  <c r="M53" i="2"/>
  <c r="N53" i="2"/>
  <c r="P53" i="2"/>
  <c r="T53" i="2" s="1"/>
  <c r="Q53" i="2"/>
  <c r="R53" i="2"/>
  <c r="K54" i="2"/>
  <c r="L54" i="2"/>
  <c r="N54" i="2"/>
  <c r="P54" i="2"/>
  <c r="T54" i="2" s="1"/>
  <c r="Q54" i="2"/>
  <c r="R54" i="2"/>
  <c r="K55" i="2"/>
  <c r="L55" i="2"/>
  <c r="N55" i="2"/>
  <c r="P55" i="2"/>
  <c r="T55" i="2" s="1"/>
  <c r="Q55" i="2"/>
  <c r="R55" i="2"/>
  <c r="K56" i="2"/>
  <c r="L56" i="2"/>
  <c r="N56" i="2"/>
  <c r="P56" i="2"/>
  <c r="T56" i="2" s="1"/>
  <c r="Q56" i="2"/>
  <c r="R56" i="2"/>
  <c r="K57" i="2"/>
  <c r="L57" i="2"/>
  <c r="M57" i="2"/>
  <c r="N57" i="2"/>
  <c r="P57" i="2"/>
  <c r="T57" i="2" s="1"/>
  <c r="Q57" i="2"/>
  <c r="R57" i="2"/>
  <c r="K58" i="2"/>
  <c r="L58" i="2"/>
  <c r="M58" i="2"/>
  <c r="N58" i="2"/>
  <c r="P58" i="2"/>
  <c r="T58" i="2" s="1"/>
  <c r="Q58" i="2"/>
  <c r="R58" i="2"/>
  <c r="K59" i="2"/>
  <c r="L59" i="2"/>
  <c r="M59" i="2"/>
  <c r="N59" i="2"/>
  <c r="P59" i="2"/>
  <c r="T59" i="2" s="1"/>
  <c r="Q59" i="2"/>
  <c r="R59" i="2"/>
  <c r="K60" i="2"/>
  <c r="L60" i="2"/>
  <c r="M60" i="2"/>
  <c r="N60" i="2"/>
  <c r="P60" i="2"/>
  <c r="T60" i="2" s="1"/>
  <c r="Q60" i="2"/>
  <c r="R60" i="2"/>
  <c r="K61" i="2"/>
  <c r="L61" i="2"/>
  <c r="N61" i="2"/>
  <c r="P61" i="2"/>
  <c r="T61" i="2" s="1"/>
  <c r="Q61" i="2"/>
  <c r="R61" i="2"/>
  <c r="K62" i="2"/>
  <c r="L62" i="2"/>
  <c r="M62" i="2"/>
  <c r="N62" i="2"/>
  <c r="P62" i="2"/>
  <c r="T62" i="2" s="1"/>
  <c r="Q62" i="2"/>
  <c r="R62" i="2"/>
  <c r="K63" i="2"/>
  <c r="L63" i="2"/>
  <c r="M63" i="2"/>
  <c r="N63" i="2"/>
  <c r="P63" i="2"/>
  <c r="T63" i="2" s="1"/>
  <c r="Q63" i="2"/>
  <c r="R63" i="2"/>
  <c r="K64" i="2"/>
  <c r="L64" i="2"/>
  <c r="N64" i="2"/>
  <c r="P64" i="2"/>
  <c r="T64" i="2" s="1"/>
  <c r="Q64" i="2"/>
  <c r="R64" i="2"/>
  <c r="K65" i="2"/>
  <c r="L65" i="2"/>
  <c r="N65" i="2"/>
  <c r="P65" i="2"/>
  <c r="T65" i="2" s="1"/>
  <c r="Q65" i="2"/>
  <c r="R65" i="2"/>
  <c r="K66" i="2"/>
  <c r="L66" i="2"/>
  <c r="N66" i="2"/>
  <c r="P66" i="2"/>
  <c r="T66" i="2" s="1"/>
  <c r="Q66" i="2"/>
  <c r="R66" i="2"/>
  <c r="K67" i="2"/>
  <c r="L67" i="2"/>
  <c r="M67" i="2"/>
  <c r="N67" i="2"/>
  <c r="P67" i="2"/>
  <c r="T67" i="2" s="1"/>
  <c r="Q67" i="2"/>
  <c r="R67" i="2"/>
  <c r="K68" i="2"/>
  <c r="L68" i="2"/>
  <c r="M68" i="2"/>
  <c r="N68" i="2"/>
  <c r="P68" i="2"/>
  <c r="T68" i="2" s="1"/>
  <c r="Q68" i="2"/>
  <c r="R68" i="2"/>
  <c r="K69" i="2"/>
  <c r="L69" i="2"/>
  <c r="N69" i="2"/>
  <c r="P69" i="2"/>
  <c r="T69" i="2" s="1"/>
  <c r="K70" i="2"/>
  <c r="L70" i="2"/>
  <c r="M70" i="2"/>
  <c r="N70" i="2"/>
  <c r="P70" i="2"/>
  <c r="T70" i="2" s="1"/>
  <c r="Q70" i="2"/>
  <c r="R70" i="2"/>
  <c r="K71" i="2"/>
  <c r="L71" i="2"/>
  <c r="M71" i="2"/>
  <c r="N71" i="2"/>
  <c r="P71" i="2"/>
  <c r="T71" i="2" s="1"/>
  <c r="Q71" i="2"/>
  <c r="R71" i="2"/>
  <c r="K72" i="2"/>
  <c r="L72" i="2"/>
  <c r="M72" i="2"/>
  <c r="N72" i="2"/>
  <c r="P72" i="2"/>
  <c r="T72" i="2" s="1"/>
  <c r="Q72" i="2"/>
  <c r="R72" i="2"/>
  <c r="K73" i="2"/>
  <c r="L73" i="2"/>
  <c r="M73" i="2"/>
  <c r="N73" i="2"/>
  <c r="P73" i="2"/>
  <c r="T73" i="2" s="1"/>
  <c r="Q73" i="2"/>
  <c r="R73" i="2"/>
  <c r="K74" i="2"/>
  <c r="L74" i="2"/>
  <c r="N74" i="2"/>
  <c r="P74" i="2"/>
  <c r="T74" i="2" s="1"/>
  <c r="Q74" i="2"/>
  <c r="R74" i="2"/>
  <c r="K75" i="2"/>
  <c r="L75" i="2"/>
  <c r="M75" i="2"/>
  <c r="N75" i="2"/>
  <c r="P75" i="2"/>
  <c r="T75" i="2" s="1"/>
  <c r="Q75" i="2"/>
  <c r="R75" i="2"/>
  <c r="K76" i="2"/>
  <c r="L76" i="2"/>
  <c r="M76" i="2"/>
  <c r="N76" i="2"/>
  <c r="P76" i="2"/>
  <c r="T76" i="2" s="1"/>
  <c r="Q76" i="2"/>
  <c r="R76" i="2"/>
  <c r="K77" i="2"/>
  <c r="L77" i="2"/>
  <c r="M77" i="2"/>
  <c r="N77" i="2"/>
  <c r="P77" i="2"/>
  <c r="T77" i="2" s="1"/>
  <c r="Q77" i="2"/>
  <c r="K78" i="2"/>
  <c r="L78" i="2"/>
  <c r="M78" i="2"/>
  <c r="N78" i="2"/>
  <c r="P78" i="2"/>
  <c r="T78" i="2" s="1"/>
  <c r="Q78" i="2"/>
  <c r="R78" i="2"/>
  <c r="K79" i="2"/>
  <c r="L79" i="2"/>
  <c r="N79" i="2"/>
  <c r="P79" i="2"/>
  <c r="T79" i="2" s="1"/>
  <c r="Q79" i="2"/>
  <c r="K80" i="2"/>
  <c r="L80" i="2"/>
  <c r="M80" i="2"/>
  <c r="N80" i="2"/>
  <c r="P80" i="2"/>
  <c r="T80" i="2" s="1"/>
  <c r="Q80" i="2"/>
  <c r="R80" i="2"/>
  <c r="K81" i="2"/>
  <c r="L81" i="2"/>
  <c r="N81" i="2"/>
  <c r="P81" i="2"/>
  <c r="T81" i="2" s="1"/>
  <c r="Q81" i="2"/>
  <c r="K82" i="2"/>
  <c r="L82" i="2"/>
  <c r="M82" i="2"/>
  <c r="N82" i="2"/>
  <c r="P82" i="2"/>
  <c r="T82" i="2" s="1"/>
  <c r="Q82" i="2"/>
  <c r="R82" i="2"/>
  <c r="K83" i="2"/>
  <c r="L83" i="2"/>
  <c r="M83" i="2"/>
  <c r="N83" i="2"/>
  <c r="P83" i="2"/>
  <c r="T83" i="2" s="1"/>
  <c r="Q83" i="2"/>
  <c r="R83" i="2"/>
  <c r="K84" i="2"/>
  <c r="L84" i="2"/>
  <c r="M84" i="2"/>
  <c r="N84" i="2"/>
  <c r="P84" i="2"/>
  <c r="T84" i="2" s="1"/>
  <c r="Q84" i="2"/>
  <c r="R84" i="2"/>
  <c r="K85" i="2"/>
  <c r="L85" i="2"/>
  <c r="N85" i="2"/>
  <c r="P85" i="2"/>
  <c r="T85" i="2" s="1"/>
  <c r="Q85" i="2"/>
  <c r="K86" i="2"/>
  <c r="L86" i="2"/>
  <c r="N86" i="2"/>
  <c r="P86" i="2"/>
  <c r="T86" i="2" s="1"/>
  <c r="Q86" i="2"/>
  <c r="R86" i="2"/>
  <c r="K87" i="2"/>
  <c r="L87" i="2"/>
  <c r="M87" i="2"/>
  <c r="N87" i="2"/>
  <c r="P87" i="2"/>
  <c r="T87" i="2" s="1"/>
  <c r="Q87" i="2"/>
  <c r="R87" i="2"/>
  <c r="K88" i="2"/>
  <c r="L88" i="2"/>
  <c r="N88" i="2"/>
  <c r="P88" i="2"/>
  <c r="T88" i="2" s="1"/>
  <c r="Q88" i="2"/>
  <c r="R88" i="2"/>
  <c r="K89" i="2"/>
  <c r="L89" i="2"/>
  <c r="P89" i="2"/>
  <c r="T89" i="2" s="1"/>
  <c r="Q89" i="2"/>
  <c r="R89" i="2"/>
  <c r="K90" i="2"/>
  <c r="L90" i="2"/>
  <c r="N90" i="2"/>
  <c r="P90" i="2"/>
  <c r="T90" i="2" s="1"/>
  <c r="Q90" i="2"/>
  <c r="K91" i="2"/>
  <c r="L91" i="2"/>
  <c r="M91" i="2"/>
  <c r="N91" i="2"/>
  <c r="P91" i="2"/>
  <c r="T91" i="2" s="1"/>
  <c r="Q91" i="2"/>
  <c r="R91" i="2"/>
  <c r="K92" i="2"/>
  <c r="L92" i="2"/>
  <c r="M92" i="2"/>
  <c r="N92" i="2"/>
  <c r="P92" i="2"/>
  <c r="T92" i="2" s="1"/>
  <c r="Q92" i="2"/>
  <c r="K93" i="2"/>
  <c r="L93" i="2"/>
  <c r="M93" i="2"/>
  <c r="N93" i="2"/>
  <c r="P93" i="2"/>
  <c r="T93" i="2" s="1"/>
  <c r="Q93" i="2"/>
  <c r="K94" i="2"/>
  <c r="L94" i="2"/>
  <c r="M94" i="2"/>
  <c r="N94" i="2"/>
  <c r="P94" i="2"/>
  <c r="T94" i="2" s="1"/>
  <c r="Q94" i="2"/>
  <c r="K95" i="2"/>
  <c r="L95" i="2"/>
  <c r="M95" i="2"/>
  <c r="N95" i="2"/>
  <c r="P95" i="2"/>
  <c r="T95" i="2" s="1"/>
  <c r="Q95" i="2"/>
  <c r="K96" i="2"/>
  <c r="L96" i="2"/>
  <c r="M96" i="2"/>
  <c r="N96" i="2"/>
  <c r="P96" i="2"/>
  <c r="Q96" i="2"/>
  <c r="K97" i="2"/>
  <c r="L97" i="2"/>
  <c r="M97" i="2"/>
  <c r="N97" i="2"/>
  <c r="P97" i="2"/>
  <c r="Q97" i="2"/>
  <c r="R97" i="2"/>
  <c r="N98" i="2"/>
  <c r="P98" i="2"/>
  <c r="Q98" i="2"/>
  <c r="K99" i="2"/>
  <c r="L99" i="2"/>
  <c r="M99" i="2"/>
  <c r="N99" i="2"/>
  <c r="P99" i="2"/>
  <c r="Q99" i="2"/>
  <c r="R99" i="2"/>
  <c r="K100" i="2"/>
  <c r="L100" i="2"/>
  <c r="M100" i="2"/>
  <c r="N100" i="2"/>
  <c r="P100" i="2"/>
  <c r="Q100" i="2"/>
  <c r="R100" i="2"/>
  <c r="K101" i="2"/>
  <c r="L101" i="2"/>
  <c r="M101" i="2"/>
  <c r="N101" i="2"/>
  <c r="P101" i="2"/>
  <c r="Q101" i="2"/>
  <c r="R101" i="2"/>
  <c r="K102" i="2"/>
  <c r="L102" i="2"/>
  <c r="M102" i="2"/>
  <c r="N102" i="2"/>
  <c r="P102" i="2"/>
  <c r="Q102" i="2"/>
  <c r="R102" i="2"/>
  <c r="K103" i="2"/>
  <c r="L103" i="2"/>
  <c r="M103" i="2"/>
  <c r="N103" i="2"/>
  <c r="P103" i="2"/>
  <c r="Q103" i="2"/>
  <c r="R103" i="2"/>
  <c r="K104" i="2"/>
  <c r="L104" i="2"/>
  <c r="M104" i="2"/>
  <c r="N104" i="2"/>
  <c r="P104" i="2"/>
  <c r="Q104" i="2"/>
  <c r="R104" i="2"/>
  <c r="K105" i="2"/>
  <c r="L105" i="2"/>
  <c r="M105" i="2"/>
  <c r="N105" i="2"/>
  <c r="P105" i="2"/>
  <c r="Q105" i="2"/>
  <c r="R105" i="2"/>
  <c r="K106" i="2"/>
  <c r="L106" i="2"/>
  <c r="M106" i="2"/>
  <c r="N106" i="2"/>
  <c r="P106" i="2"/>
  <c r="Q106" i="2"/>
  <c r="R106" i="2"/>
  <c r="K107" i="2"/>
  <c r="L107" i="2"/>
  <c r="M107" i="2"/>
  <c r="N107" i="2"/>
  <c r="P107" i="2"/>
  <c r="Q107" i="2"/>
  <c r="R107" i="2"/>
  <c r="K108" i="2"/>
  <c r="L108" i="2"/>
  <c r="M108" i="2"/>
  <c r="N108" i="2"/>
  <c r="P108" i="2"/>
  <c r="Q108" i="2"/>
  <c r="R108" i="2"/>
  <c r="K4" i="5"/>
  <c r="L4" i="5"/>
  <c r="M4" i="5"/>
  <c r="N4" i="5"/>
  <c r="P4" i="5"/>
  <c r="T4" i="5" s="1"/>
  <c r="Q4" i="5"/>
  <c r="R4" i="5"/>
  <c r="K5" i="5"/>
  <c r="L5" i="5"/>
  <c r="M5" i="5"/>
  <c r="N5" i="5"/>
  <c r="P5" i="5"/>
  <c r="T5" i="5" s="1"/>
  <c r="Q5" i="5"/>
  <c r="R5" i="5"/>
  <c r="K6" i="5"/>
  <c r="L6" i="5"/>
  <c r="M6" i="5"/>
  <c r="N6" i="5"/>
  <c r="P6" i="5"/>
  <c r="T6" i="5" s="1"/>
  <c r="Q6" i="5"/>
  <c r="K7" i="5"/>
  <c r="L7" i="5"/>
  <c r="M7" i="5"/>
  <c r="N7" i="5"/>
  <c r="P7" i="5"/>
  <c r="T7" i="5" s="1"/>
  <c r="Q7" i="5"/>
  <c r="R7" i="5"/>
  <c r="K8" i="5"/>
  <c r="L8" i="5"/>
  <c r="M8" i="5"/>
  <c r="N8" i="5"/>
  <c r="P8" i="5"/>
  <c r="T8" i="5" s="1"/>
  <c r="Q8" i="5"/>
  <c r="R8" i="5"/>
  <c r="K9" i="5"/>
  <c r="L9" i="5"/>
  <c r="M9" i="5"/>
  <c r="N9" i="5"/>
  <c r="P9" i="5"/>
  <c r="T9" i="5" s="1"/>
  <c r="Q9" i="5"/>
  <c r="R9" i="5"/>
  <c r="K10" i="5"/>
  <c r="L10" i="5"/>
  <c r="M10" i="5"/>
  <c r="N10" i="5"/>
  <c r="P10" i="5"/>
  <c r="T10" i="5" s="1"/>
  <c r="Q10" i="5"/>
  <c r="R10" i="5"/>
  <c r="K11" i="5"/>
  <c r="L11" i="5"/>
  <c r="M11" i="5"/>
  <c r="N11" i="5"/>
  <c r="P11" i="5"/>
  <c r="T11" i="5" s="1"/>
  <c r="Q11" i="5"/>
  <c r="R11" i="5"/>
  <c r="K12" i="5"/>
  <c r="L12" i="5"/>
  <c r="M12" i="5"/>
  <c r="N12" i="5"/>
  <c r="P12" i="5"/>
  <c r="T12" i="5" s="1"/>
  <c r="Q12" i="5"/>
  <c r="K13" i="5"/>
  <c r="L13" i="5"/>
  <c r="M13" i="5"/>
  <c r="N13" i="5"/>
  <c r="P13" i="5"/>
  <c r="T13" i="5" s="1"/>
  <c r="Q13" i="5"/>
  <c r="K14" i="5"/>
  <c r="L14" i="5"/>
  <c r="M14" i="5"/>
  <c r="N14" i="5"/>
  <c r="P14" i="5"/>
  <c r="T14" i="5" s="1"/>
  <c r="Q14" i="5"/>
  <c r="R14" i="5"/>
  <c r="K15" i="5"/>
  <c r="L15" i="5"/>
  <c r="M15" i="5"/>
  <c r="N15" i="5"/>
  <c r="P15" i="5"/>
  <c r="T15" i="5" s="1"/>
  <c r="Q15" i="5"/>
  <c r="R15" i="5"/>
  <c r="K16" i="5"/>
  <c r="L16" i="5"/>
  <c r="M16" i="5"/>
  <c r="N16" i="5"/>
  <c r="P16" i="5"/>
  <c r="T16" i="5" s="1"/>
  <c r="Q16" i="5"/>
  <c r="R16" i="5"/>
  <c r="K17" i="5"/>
  <c r="L17" i="5"/>
  <c r="M17" i="5"/>
  <c r="N17" i="5"/>
  <c r="P17" i="5"/>
  <c r="T17" i="5" s="1"/>
  <c r="Q17" i="5"/>
  <c r="K18" i="5"/>
  <c r="L18" i="5"/>
  <c r="M18" i="5"/>
  <c r="N18" i="5"/>
  <c r="P18" i="5"/>
  <c r="T18" i="5" s="1"/>
  <c r="Q18" i="5"/>
  <c r="R18" i="5"/>
  <c r="K19" i="5"/>
  <c r="L19" i="5"/>
  <c r="M19" i="5"/>
  <c r="N19" i="5"/>
  <c r="P19" i="5"/>
  <c r="T19" i="5" s="1"/>
  <c r="Q19" i="5"/>
  <c r="R19" i="5"/>
  <c r="K20" i="5"/>
  <c r="L20" i="5"/>
  <c r="M20" i="5"/>
  <c r="N20" i="5"/>
  <c r="P20" i="5"/>
  <c r="T20" i="5" s="1"/>
  <c r="Q20" i="5"/>
  <c r="R20" i="5"/>
  <c r="K21" i="5"/>
  <c r="L21" i="5"/>
  <c r="N21" i="5"/>
  <c r="P21" i="5"/>
  <c r="T21" i="5" s="1"/>
  <c r="Q21" i="5"/>
  <c r="K22" i="5"/>
  <c r="L22" i="5"/>
  <c r="M22" i="5"/>
  <c r="N22" i="5"/>
  <c r="P22" i="5"/>
  <c r="T22" i="5" s="1"/>
  <c r="Q22" i="5"/>
  <c r="K23" i="5"/>
  <c r="L23" i="5"/>
  <c r="M23" i="5"/>
  <c r="N23" i="5"/>
  <c r="P23" i="5"/>
  <c r="T23" i="5" s="1"/>
  <c r="Q23" i="5"/>
  <c r="K24" i="5"/>
  <c r="L24" i="5"/>
  <c r="M24" i="5"/>
  <c r="N24" i="5"/>
  <c r="P24" i="5"/>
  <c r="T24" i="5" s="1"/>
  <c r="Q24" i="5"/>
  <c r="K25" i="5"/>
  <c r="L25" i="5"/>
  <c r="M25" i="5"/>
  <c r="N25" i="5"/>
  <c r="P25" i="5"/>
  <c r="T25" i="5" s="1"/>
  <c r="Q25" i="5"/>
  <c r="K26" i="5"/>
  <c r="L26" i="5"/>
  <c r="M26" i="5"/>
  <c r="N26" i="5"/>
  <c r="P26" i="5"/>
  <c r="T26" i="5" s="1"/>
  <c r="Q26" i="5"/>
  <c r="R26" i="5"/>
  <c r="K27" i="5"/>
  <c r="L27" i="5"/>
  <c r="M27" i="5"/>
  <c r="N27" i="5"/>
  <c r="P27" i="5"/>
  <c r="T27" i="5" s="1"/>
  <c r="Q27" i="5"/>
  <c r="R27" i="5"/>
  <c r="K28" i="5"/>
  <c r="L28" i="5"/>
  <c r="M28" i="5"/>
  <c r="N28" i="5"/>
  <c r="P28" i="5"/>
  <c r="T28" i="5" s="1"/>
  <c r="Q28" i="5"/>
  <c r="R28" i="5"/>
  <c r="K29" i="5"/>
  <c r="L29" i="5"/>
  <c r="M29" i="5"/>
  <c r="N29" i="5"/>
  <c r="P29" i="5"/>
  <c r="T29" i="5" s="1"/>
  <c r="Q29" i="5"/>
  <c r="R29" i="5"/>
  <c r="K30" i="5"/>
  <c r="L30" i="5"/>
  <c r="M30" i="5"/>
  <c r="N30" i="5"/>
  <c r="P30" i="5"/>
  <c r="T30" i="5" s="1"/>
  <c r="Q30" i="5"/>
  <c r="R30" i="5"/>
  <c r="K31" i="5"/>
  <c r="L31" i="5"/>
  <c r="M31" i="5"/>
  <c r="N31" i="5"/>
  <c r="P31" i="5"/>
  <c r="T31" i="5" s="1"/>
  <c r="Q31" i="5"/>
  <c r="R31" i="5"/>
  <c r="K32" i="5"/>
  <c r="L32" i="5"/>
  <c r="M32" i="5"/>
  <c r="N32" i="5"/>
  <c r="P32" i="5"/>
  <c r="T32" i="5" s="1"/>
  <c r="Q32" i="5"/>
  <c r="K33" i="5"/>
  <c r="L33" i="5"/>
  <c r="N33" i="5"/>
  <c r="P33" i="5"/>
  <c r="T33" i="5" s="1"/>
  <c r="Q33" i="5"/>
  <c r="K34" i="5"/>
  <c r="L34" i="5"/>
  <c r="M34" i="5"/>
  <c r="N34" i="5"/>
  <c r="P34" i="5"/>
  <c r="T34" i="5" s="1"/>
  <c r="Q34" i="5"/>
  <c r="K35" i="5"/>
  <c r="L35" i="5"/>
  <c r="M35" i="5"/>
  <c r="N35" i="5"/>
  <c r="P35" i="5"/>
  <c r="T35" i="5" s="1"/>
  <c r="Q35" i="5"/>
  <c r="K36" i="5"/>
  <c r="L36" i="5"/>
  <c r="M36" i="5"/>
  <c r="N36" i="5"/>
  <c r="P36" i="5"/>
  <c r="T36" i="5" s="1"/>
  <c r="Q36" i="5"/>
  <c r="K37" i="5"/>
  <c r="L37" i="5"/>
  <c r="M37" i="5"/>
  <c r="N37" i="5"/>
  <c r="P37" i="5"/>
  <c r="T37" i="5" s="1"/>
  <c r="Q37" i="5"/>
  <c r="R37" i="5"/>
  <c r="K38" i="5"/>
  <c r="L38" i="5"/>
  <c r="N38" i="5"/>
  <c r="P38" i="5"/>
  <c r="T38" i="5" s="1"/>
  <c r="Q38" i="5"/>
  <c r="R38" i="5"/>
  <c r="K39" i="5"/>
  <c r="L39" i="5"/>
  <c r="M39" i="5"/>
  <c r="N39" i="5"/>
  <c r="P39" i="5"/>
  <c r="T39" i="5" s="1"/>
  <c r="Q39" i="5"/>
  <c r="R39" i="5"/>
  <c r="K40" i="5"/>
  <c r="L40" i="5"/>
  <c r="M40" i="5"/>
  <c r="N40" i="5"/>
  <c r="Q40" i="5"/>
  <c r="K41" i="5"/>
  <c r="L41" i="5"/>
  <c r="M41" i="5"/>
  <c r="N41" i="5"/>
  <c r="P41" i="5"/>
  <c r="T41" i="5" s="1"/>
  <c r="Q41" i="5"/>
  <c r="K42" i="5"/>
  <c r="L42" i="5"/>
  <c r="M42" i="5"/>
  <c r="N42" i="5"/>
  <c r="P42" i="5"/>
  <c r="T42" i="5" s="1"/>
  <c r="Q42" i="5"/>
  <c r="K43" i="5"/>
  <c r="L43" i="5"/>
  <c r="M43" i="5"/>
  <c r="N43" i="5"/>
  <c r="P43" i="5"/>
  <c r="T43" i="5" s="1"/>
  <c r="Q43" i="5"/>
  <c r="R43" i="5"/>
  <c r="K44" i="5"/>
  <c r="L44" i="5"/>
  <c r="M44" i="5"/>
  <c r="N44" i="5"/>
  <c r="P44" i="5"/>
  <c r="T44" i="5" s="1"/>
  <c r="Q44" i="5"/>
  <c r="K45" i="5"/>
  <c r="L45" i="5"/>
  <c r="M45" i="5"/>
  <c r="N45" i="5"/>
  <c r="P45" i="5"/>
  <c r="T45" i="5" s="1"/>
  <c r="Q45" i="5"/>
  <c r="K46" i="5"/>
  <c r="L46" i="5"/>
  <c r="M46" i="5"/>
  <c r="N46" i="5"/>
  <c r="P46" i="5"/>
  <c r="T46" i="5" s="1"/>
  <c r="Q46" i="5"/>
  <c r="R46" i="5"/>
  <c r="K47" i="5"/>
  <c r="L47" i="5"/>
  <c r="M47" i="5"/>
  <c r="N47" i="5"/>
  <c r="P47" i="5"/>
  <c r="T47" i="5" s="1"/>
  <c r="Q47" i="5"/>
  <c r="K48" i="5"/>
  <c r="L48" i="5"/>
  <c r="M48" i="5"/>
  <c r="N48" i="5"/>
  <c r="P48" i="5"/>
  <c r="T48" i="5" s="1"/>
  <c r="Q48" i="5"/>
  <c r="K49" i="5"/>
  <c r="L49" i="5"/>
  <c r="M49" i="5"/>
  <c r="N49" i="5"/>
  <c r="P49" i="5"/>
  <c r="T49" i="5" s="1"/>
  <c r="Q49" i="5"/>
  <c r="R49" i="5"/>
  <c r="K50" i="5"/>
  <c r="L50" i="5"/>
  <c r="N50" i="5"/>
  <c r="P50" i="5"/>
  <c r="T50" i="5" s="1"/>
  <c r="Q50" i="5"/>
  <c r="K51" i="5"/>
  <c r="L51" i="5"/>
  <c r="N51" i="5"/>
  <c r="P51" i="5"/>
  <c r="T51" i="5" s="1"/>
  <c r="Q51" i="5"/>
  <c r="K52" i="5"/>
  <c r="L52" i="5"/>
  <c r="M52" i="5"/>
  <c r="N52" i="5"/>
  <c r="P52" i="5"/>
  <c r="T52" i="5" s="1"/>
  <c r="Q52" i="5"/>
  <c r="R52" i="5"/>
  <c r="K53" i="5"/>
  <c r="L53" i="5"/>
  <c r="M53" i="5"/>
  <c r="N53" i="5"/>
  <c r="P53" i="5"/>
  <c r="T53" i="5" s="1"/>
  <c r="Q53" i="5"/>
  <c r="R53" i="5"/>
  <c r="K54" i="5"/>
  <c r="L54" i="5"/>
  <c r="M54" i="5"/>
  <c r="N54" i="5"/>
  <c r="P54" i="5"/>
  <c r="T54" i="5" s="1"/>
  <c r="Q54" i="5"/>
  <c r="R54" i="5"/>
  <c r="K55" i="5"/>
  <c r="L55" i="5"/>
  <c r="M55" i="5"/>
  <c r="N55" i="5"/>
  <c r="P55" i="5"/>
  <c r="T55" i="5" s="1"/>
  <c r="Q55" i="5"/>
  <c r="K56" i="5"/>
  <c r="L56" i="5"/>
  <c r="M56" i="5"/>
  <c r="N56" i="5"/>
  <c r="P56" i="5"/>
  <c r="T56" i="5" s="1"/>
  <c r="Q56" i="5"/>
  <c r="K57" i="5"/>
  <c r="L57" i="5"/>
  <c r="M57" i="5"/>
  <c r="N57" i="5"/>
  <c r="P57" i="5"/>
  <c r="T57" i="5" s="1"/>
  <c r="Q57" i="5"/>
  <c r="R57" i="5"/>
  <c r="K58" i="5"/>
  <c r="L58" i="5"/>
  <c r="M58" i="5"/>
  <c r="N58" i="5"/>
  <c r="P58" i="5"/>
  <c r="T58" i="5" s="1"/>
  <c r="Q58" i="5"/>
  <c r="R58" i="5"/>
  <c r="K59" i="5"/>
  <c r="L59" i="5"/>
  <c r="M59" i="5"/>
  <c r="N59" i="5"/>
  <c r="P59" i="5"/>
  <c r="T59" i="5" s="1"/>
  <c r="Q59" i="5"/>
  <c r="K60" i="5"/>
  <c r="L60" i="5"/>
  <c r="M60" i="5"/>
  <c r="N60" i="5"/>
  <c r="P60" i="5"/>
  <c r="T60" i="5" s="1"/>
  <c r="Q60" i="5"/>
  <c r="R60" i="5"/>
  <c r="K61" i="5"/>
  <c r="L61" i="5"/>
  <c r="N61" i="5"/>
  <c r="P61" i="5"/>
  <c r="T61" i="5" s="1"/>
  <c r="Q61" i="5"/>
  <c r="R61" i="5"/>
  <c r="K62" i="5"/>
  <c r="L62" i="5"/>
  <c r="N62" i="5"/>
  <c r="P62" i="5"/>
  <c r="T62" i="5" s="1"/>
  <c r="Q62" i="5"/>
  <c r="R62" i="5"/>
  <c r="K63" i="5"/>
  <c r="L63" i="5"/>
  <c r="M63" i="5"/>
  <c r="N63" i="5"/>
  <c r="P63" i="5"/>
  <c r="T63" i="5" s="1"/>
  <c r="Q63" i="5"/>
  <c r="K64" i="5"/>
  <c r="L64" i="5"/>
  <c r="M64" i="5"/>
  <c r="N64" i="5"/>
  <c r="P64" i="5"/>
  <c r="T64" i="5" s="1"/>
  <c r="Q64" i="5"/>
  <c r="K65" i="5"/>
  <c r="L65" i="5"/>
  <c r="M65" i="5"/>
  <c r="N65" i="5"/>
  <c r="P65" i="5"/>
  <c r="T65" i="5" s="1"/>
  <c r="Q65" i="5"/>
  <c r="R65" i="5"/>
  <c r="K66" i="5"/>
  <c r="L66" i="5"/>
  <c r="M66" i="5"/>
  <c r="N66" i="5"/>
  <c r="P66" i="5"/>
  <c r="T66" i="5" s="1"/>
  <c r="Q66" i="5"/>
  <c r="K67" i="5"/>
  <c r="L67" i="5"/>
  <c r="M67" i="5"/>
  <c r="N67" i="5"/>
  <c r="P67" i="5"/>
  <c r="T67" i="5" s="1"/>
  <c r="Q67" i="5"/>
  <c r="R67" i="5"/>
  <c r="K68" i="5"/>
  <c r="L68" i="5"/>
  <c r="M68" i="5"/>
  <c r="N68" i="5"/>
  <c r="P68" i="5"/>
  <c r="T68" i="5" s="1"/>
  <c r="Q68" i="5"/>
  <c r="K69" i="5"/>
  <c r="L69" i="5"/>
  <c r="M69" i="5"/>
  <c r="N69" i="5"/>
  <c r="P69" i="5"/>
  <c r="T69" i="5" s="1"/>
  <c r="Q69" i="5"/>
  <c r="K70" i="5"/>
  <c r="L70" i="5"/>
  <c r="M70" i="5"/>
  <c r="N70" i="5"/>
  <c r="P70" i="5"/>
  <c r="T70" i="5" s="1"/>
  <c r="Q70" i="5"/>
  <c r="R70" i="5"/>
  <c r="K71" i="5"/>
  <c r="L71" i="5"/>
  <c r="M71" i="5"/>
  <c r="N71" i="5"/>
  <c r="P71" i="5"/>
  <c r="T71" i="5" s="1"/>
  <c r="Q71" i="5"/>
  <c r="R71" i="5"/>
  <c r="K72" i="5"/>
  <c r="L72" i="5"/>
  <c r="M72" i="5"/>
  <c r="N72" i="5"/>
  <c r="P72" i="5"/>
  <c r="T72" i="5" s="1"/>
  <c r="Q72" i="5"/>
  <c r="R72" i="5"/>
  <c r="K73" i="5"/>
  <c r="L73" i="5"/>
  <c r="N73" i="5"/>
  <c r="P73" i="5"/>
  <c r="T73" i="5" s="1"/>
  <c r="Q73" i="5"/>
  <c r="K74" i="5"/>
  <c r="L74" i="5"/>
  <c r="M74" i="5"/>
  <c r="N74" i="5"/>
  <c r="P74" i="5"/>
  <c r="T74" i="5" s="1"/>
  <c r="Q74" i="5"/>
  <c r="R74" i="5"/>
  <c r="K75" i="5"/>
  <c r="L75" i="5"/>
  <c r="M75" i="5"/>
  <c r="N75" i="5"/>
  <c r="P75" i="5"/>
  <c r="T75" i="5" s="1"/>
  <c r="Q75" i="5"/>
  <c r="R75" i="5"/>
  <c r="K76" i="5"/>
  <c r="L76" i="5"/>
  <c r="M76" i="5"/>
  <c r="N76" i="5"/>
  <c r="P76" i="5"/>
  <c r="T76" i="5" s="1"/>
  <c r="Q76" i="5"/>
  <c r="R76" i="5"/>
  <c r="K77" i="5"/>
  <c r="L77" i="5"/>
  <c r="M77" i="5"/>
  <c r="N77" i="5"/>
  <c r="P77" i="5"/>
  <c r="T77" i="5" s="1"/>
  <c r="Q77" i="5"/>
  <c r="R77" i="5"/>
  <c r="K78" i="5"/>
  <c r="L78" i="5"/>
  <c r="M78" i="5"/>
  <c r="N78" i="5"/>
  <c r="P78" i="5"/>
  <c r="T78" i="5" s="1"/>
  <c r="Q78" i="5"/>
  <c r="K79" i="5"/>
  <c r="L79" i="5"/>
  <c r="M79" i="5"/>
  <c r="N79" i="5"/>
  <c r="P79" i="5"/>
  <c r="T79" i="5" s="1"/>
  <c r="Q79" i="5"/>
  <c r="K80" i="5"/>
  <c r="L80" i="5"/>
  <c r="M80" i="5"/>
  <c r="N80" i="5"/>
  <c r="P80" i="5"/>
  <c r="T80" i="5" s="1"/>
  <c r="Q80" i="5"/>
  <c r="K81" i="5"/>
  <c r="L81" i="5"/>
  <c r="M81" i="5"/>
  <c r="N81" i="5"/>
  <c r="P81" i="5"/>
  <c r="T81" i="5" s="1"/>
  <c r="Q81" i="5"/>
  <c r="R81" i="5"/>
  <c r="K82" i="5"/>
  <c r="L82" i="5"/>
  <c r="M82" i="5"/>
  <c r="N82" i="5"/>
  <c r="P82" i="5"/>
  <c r="T82" i="5" s="1"/>
  <c r="Q82" i="5"/>
  <c r="R82" i="5"/>
  <c r="K83" i="5"/>
  <c r="L83" i="5"/>
  <c r="M83" i="5"/>
  <c r="N83" i="5"/>
  <c r="P83" i="5"/>
  <c r="T83" i="5" s="1"/>
  <c r="Q83" i="5"/>
  <c r="R83" i="5"/>
  <c r="K84" i="5"/>
  <c r="L84" i="5"/>
  <c r="M84" i="5"/>
  <c r="N84" i="5"/>
  <c r="P84" i="5"/>
  <c r="T84" i="5" s="1"/>
  <c r="Q84" i="5"/>
  <c r="K85" i="5"/>
  <c r="L85" i="5"/>
  <c r="N85" i="5"/>
  <c r="P85" i="5"/>
  <c r="T85" i="5" s="1"/>
  <c r="Q85" i="5"/>
  <c r="R85" i="5"/>
  <c r="K86" i="5"/>
  <c r="L86" i="5"/>
  <c r="M86" i="5"/>
  <c r="N86" i="5"/>
  <c r="P86" i="5"/>
  <c r="T86" i="5" s="1"/>
  <c r="Q86" i="5"/>
  <c r="R86" i="5"/>
  <c r="K87" i="5"/>
  <c r="L87" i="5"/>
  <c r="M87" i="5"/>
  <c r="N87" i="5"/>
  <c r="P87" i="5"/>
  <c r="T87" i="5" s="1"/>
  <c r="Q87" i="5"/>
  <c r="R87" i="5"/>
  <c r="N88" i="5"/>
  <c r="P88" i="5"/>
  <c r="T88" i="5" s="1"/>
  <c r="Q88" i="5"/>
  <c r="R88" i="5"/>
  <c r="N89" i="5"/>
  <c r="P89" i="5"/>
  <c r="T89" i="5" s="1"/>
  <c r="Q89" i="5"/>
  <c r="N90" i="5"/>
  <c r="P90" i="5"/>
  <c r="T90" i="5" s="1"/>
  <c r="Q90" i="5"/>
  <c r="N91" i="5"/>
  <c r="P91" i="5"/>
  <c r="T91" i="5" s="1"/>
  <c r="Q91" i="5"/>
  <c r="N92" i="5"/>
  <c r="P92" i="5"/>
  <c r="T92" i="5" s="1"/>
  <c r="Q92" i="5"/>
  <c r="N93" i="5"/>
  <c r="P93" i="5"/>
  <c r="T93" i="5" s="1"/>
  <c r="Q93" i="5"/>
  <c r="N94" i="5"/>
  <c r="P94" i="5"/>
  <c r="T94" i="5" s="1"/>
  <c r="Q94" i="5"/>
  <c r="N95" i="5"/>
  <c r="P95" i="5"/>
  <c r="T95" i="5" s="1"/>
  <c r="Q95" i="5"/>
  <c r="N96" i="5"/>
  <c r="P96" i="5"/>
  <c r="Q96" i="5"/>
  <c r="R96" i="5"/>
  <c r="N97" i="5"/>
  <c r="P97" i="5"/>
  <c r="Q97" i="5"/>
  <c r="R97" i="5"/>
  <c r="N98" i="5"/>
  <c r="P98" i="5"/>
  <c r="Q98" i="5"/>
  <c r="R98" i="5"/>
  <c r="N99" i="5"/>
  <c r="P99" i="5"/>
  <c r="Q99" i="5"/>
  <c r="R99" i="5"/>
  <c r="N100" i="5"/>
  <c r="P100" i="5"/>
  <c r="Q100" i="5"/>
  <c r="R100" i="5"/>
  <c r="N101" i="5"/>
  <c r="P101" i="5"/>
  <c r="Q101" i="5"/>
  <c r="R101" i="5"/>
  <c r="N102" i="5"/>
  <c r="P102" i="5"/>
  <c r="Q102" i="5"/>
  <c r="R102" i="5"/>
  <c r="N103" i="5"/>
  <c r="P103" i="5"/>
  <c r="Q103" i="5"/>
  <c r="R103" i="5"/>
  <c r="N104" i="5"/>
  <c r="P104" i="5"/>
  <c r="Q104" i="5"/>
  <c r="R104" i="5"/>
  <c r="N105" i="5"/>
  <c r="P105" i="5"/>
  <c r="Q105" i="5"/>
  <c r="R105" i="5"/>
  <c r="N106" i="5"/>
  <c r="P106" i="5"/>
  <c r="Q106" i="5"/>
  <c r="R106" i="5"/>
  <c r="N107" i="5"/>
  <c r="P107" i="5"/>
  <c r="Q107" i="5"/>
  <c r="R107" i="5"/>
  <c r="N108" i="5"/>
  <c r="P108" i="5"/>
  <c r="Q108" i="5"/>
  <c r="R108" i="5"/>
  <c r="K4" i="6"/>
  <c r="L4" i="6"/>
  <c r="M4" i="6"/>
  <c r="N4" i="6"/>
  <c r="P4" i="6"/>
  <c r="T4" i="6" s="1"/>
  <c r="Q4" i="6"/>
  <c r="R4" i="6"/>
  <c r="K5" i="6"/>
  <c r="L5" i="6"/>
  <c r="M5" i="6"/>
  <c r="N5" i="6"/>
  <c r="P5" i="6"/>
  <c r="T5" i="6" s="1"/>
  <c r="Q5" i="6"/>
  <c r="R5" i="6"/>
  <c r="K6" i="6"/>
  <c r="L6" i="6"/>
  <c r="M6" i="6"/>
  <c r="N6" i="6"/>
  <c r="P6" i="6"/>
  <c r="T6" i="6" s="1"/>
  <c r="Q6" i="6"/>
  <c r="K7" i="6"/>
  <c r="L7" i="6"/>
  <c r="M7" i="6"/>
  <c r="N7" i="6"/>
  <c r="P7" i="6"/>
  <c r="T7" i="6" s="1"/>
  <c r="Q7" i="6"/>
  <c r="R7" i="6"/>
  <c r="K8" i="6"/>
  <c r="L8" i="6"/>
  <c r="M8" i="6"/>
  <c r="N8" i="6"/>
  <c r="P8" i="6"/>
  <c r="T8" i="6" s="1"/>
  <c r="Q8" i="6"/>
  <c r="R8" i="6"/>
  <c r="K9" i="6"/>
  <c r="L9" i="6"/>
  <c r="M9" i="6"/>
  <c r="N9" i="6"/>
  <c r="P9" i="6"/>
  <c r="T9" i="6" s="1"/>
  <c r="Q9" i="6"/>
  <c r="R9" i="6"/>
  <c r="K10" i="6"/>
  <c r="L10" i="6"/>
  <c r="M10" i="6"/>
  <c r="N10" i="6"/>
  <c r="P10" i="6"/>
  <c r="T10" i="6" s="1"/>
  <c r="Q10" i="6"/>
  <c r="R10" i="6"/>
  <c r="K11" i="6"/>
  <c r="L11" i="6"/>
  <c r="M11" i="6"/>
  <c r="N11" i="6"/>
  <c r="P11" i="6"/>
  <c r="T11" i="6" s="1"/>
  <c r="Q11" i="6"/>
  <c r="R11" i="6"/>
  <c r="K12" i="6"/>
  <c r="L12" i="6"/>
  <c r="M12" i="6"/>
  <c r="N12" i="6"/>
  <c r="P12" i="6"/>
  <c r="T12" i="6" s="1"/>
  <c r="Q12" i="6"/>
  <c r="R12" i="6"/>
  <c r="K13" i="6"/>
  <c r="L13" i="6"/>
  <c r="M13" i="6"/>
  <c r="N13" i="6"/>
  <c r="P13" i="6"/>
  <c r="T13" i="6" s="1"/>
  <c r="Q13" i="6"/>
  <c r="K14" i="6"/>
  <c r="L14" i="6"/>
  <c r="M14" i="6"/>
  <c r="N14" i="6"/>
  <c r="P14" i="6"/>
  <c r="T14" i="6" s="1"/>
  <c r="Q14" i="6"/>
  <c r="R14" i="6"/>
  <c r="K15" i="6"/>
  <c r="L15" i="6"/>
  <c r="M15" i="6"/>
  <c r="N15" i="6"/>
  <c r="P15" i="6"/>
  <c r="T15" i="6" s="1"/>
  <c r="Q15" i="6"/>
  <c r="R15" i="6"/>
  <c r="K16" i="6"/>
  <c r="L16" i="6"/>
  <c r="M16" i="6"/>
  <c r="N16" i="6"/>
  <c r="P16" i="6"/>
  <c r="T16" i="6" s="1"/>
  <c r="Q16" i="6"/>
  <c r="R16" i="6"/>
  <c r="K17" i="6"/>
  <c r="L17" i="6"/>
  <c r="M17" i="6"/>
  <c r="N17" i="6"/>
  <c r="P17" i="6"/>
  <c r="T17" i="6" s="1"/>
  <c r="Q17" i="6"/>
  <c r="R17" i="6"/>
  <c r="K18" i="6"/>
  <c r="L18" i="6"/>
  <c r="M18" i="6"/>
  <c r="N18" i="6"/>
  <c r="P18" i="6"/>
  <c r="T18" i="6" s="1"/>
  <c r="Q18" i="6"/>
  <c r="R18" i="6"/>
  <c r="K19" i="6"/>
  <c r="L19" i="6"/>
  <c r="M19" i="6"/>
  <c r="N19" i="6"/>
  <c r="P19" i="6"/>
  <c r="T19" i="6" s="1"/>
  <c r="Q19" i="6"/>
  <c r="K20" i="6"/>
  <c r="L20" i="6"/>
  <c r="M20" i="6"/>
  <c r="N20" i="6"/>
  <c r="P20" i="6"/>
  <c r="T20" i="6" s="1"/>
  <c r="Q20" i="6"/>
  <c r="R20" i="6"/>
  <c r="K21" i="6"/>
  <c r="L21" i="6"/>
  <c r="M21" i="6"/>
  <c r="N21" i="6"/>
  <c r="P21" i="6"/>
  <c r="T21" i="6" s="1"/>
  <c r="Q21" i="6"/>
  <c r="R21" i="6"/>
  <c r="K22" i="6"/>
  <c r="L22" i="6"/>
  <c r="M22" i="6"/>
  <c r="N22" i="6"/>
  <c r="P22" i="6"/>
  <c r="T22" i="6" s="1"/>
  <c r="Q22" i="6"/>
  <c r="R22" i="6"/>
  <c r="K23" i="6"/>
  <c r="L23" i="6"/>
  <c r="M23" i="6"/>
  <c r="N23" i="6"/>
  <c r="P23" i="6"/>
  <c r="T23" i="6" s="1"/>
  <c r="Q23" i="6"/>
  <c r="R23" i="6"/>
  <c r="K24" i="6"/>
  <c r="L24" i="6"/>
  <c r="M24" i="6"/>
  <c r="N24" i="6"/>
  <c r="P24" i="6"/>
  <c r="T24" i="6" s="1"/>
  <c r="Q24" i="6"/>
  <c r="K25" i="6"/>
  <c r="L25" i="6"/>
  <c r="M25" i="6"/>
  <c r="N25" i="6"/>
  <c r="P25" i="6"/>
  <c r="T25" i="6" s="1"/>
  <c r="Q25" i="6"/>
  <c r="R25" i="6"/>
  <c r="K26" i="6"/>
  <c r="L26" i="6"/>
  <c r="M26" i="6"/>
  <c r="N26" i="6"/>
  <c r="P26" i="6"/>
  <c r="T26" i="6" s="1"/>
  <c r="Q26" i="6"/>
  <c r="K27" i="6"/>
  <c r="L27" i="6"/>
  <c r="M27" i="6"/>
  <c r="N27" i="6"/>
  <c r="P27" i="6"/>
  <c r="T27" i="6" s="1"/>
  <c r="Q27" i="6"/>
  <c r="R27" i="6"/>
  <c r="K28" i="6"/>
  <c r="L28" i="6"/>
  <c r="M28" i="6"/>
  <c r="N28" i="6"/>
  <c r="P28" i="6"/>
  <c r="T28" i="6" s="1"/>
  <c r="Q28" i="6"/>
  <c r="R28" i="6"/>
  <c r="K29" i="6"/>
  <c r="L29" i="6"/>
  <c r="M29" i="6"/>
  <c r="N29" i="6"/>
  <c r="P29" i="6"/>
  <c r="T29" i="6" s="1"/>
  <c r="Q29" i="6"/>
  <c r="R29" i="6"/>
  <c r="K30" i="6"/>
  <c r="L30" i="6"/>
  <c r="M30" i="6"/>
  <c r="N30" i="6"/>
  <c r="P30" i="6"/>
  <c r="T30" i="6" s="1"/>
  <c r="Q30" i="6"/>
  <c r="R30" i="6"/>
  <c r="K31" i="6"/>
  <c r="L31" i="6"/>
  <c r="M31" i="6"/>
  <c r="N31" i="6"/>
  <c r="P31" i="6"/>
  <c r="T31" i="6" s="1"/>
  <c r="Q31" i="6"/>
  <c r="K32" i="6"/>
  <c r="L32" i="6"/>
  <c r="M32" i="6"/>
  <c r="N32" i="6"/>
  <c r="P32" i="6"/>
  <c r="T32" i="6" s="1"/>
  <c r="Q32" i="6"/>
  <c r="K33" i="6"/>
  <c r="L33" i="6"/>
  <c r="M33" i="6"/>
  <c r="N33" i="6"/>
  <c r="P33" i="6"/>
  <c r="T33" i="6" s="1"/>
  <c r="Q33" i="6"/>
  <c r="K34" i="6"/>
  <c r="L34" i="6"/>
  <c r="M34" i="6"/>
  <c r="N34" i="6"/>
  <c r="P34" i="6"/>
  <c r="T34" i="6" s="1"/>
  <c r="Q34" i="6"/>
  <c r="K35" i="6"/>
  <c r="L35" i="6"/>
  <c r="M35" i="6"/>
  <c r="N35" i="6"/>
  <c r="P35" i="6"/>
  <c r="T35" i="6" s="1"/>
  <c r="Q35" i="6"/>
  <c r="K36" i="6"/>
  <c r="L36" i="6"/>
  <c r="M36" i="6"/>
  <c r="N36" i="6"/>
  <c r="P36" i="6"/>
  <c r="T36" i="6" s="1"/>
  <c r="Q36" i="6"/>
  <c r="R36" i="6"/>
  <c r="K37" i="6"/>
  <c r="L37" i="6"/>
  <c r="M37" i="6"/>
  <c r="N37" i="6"/>
  <c r="P37" i="6"/>
  <c r="T37" i="6" s="1"/>
  <c r="Q37" i="6"/>
  <c r="K38" i="6"/>
  <c r="L38" i="6"/>
  <c r="N38" i="6"/>
  <c r="P38" i="6"/>
  <c r="T38" i="6" s="1"/>
  <c r="Q38" i="6"/>
  <c r="R38" i="6"/>
  <c r="K39" i="6"/>
  <c r="L39" i="6"/>
  <c r="M39" i="6"/>
  <c r="N39" i="6"/>
  <c r="P39" i="6"/>
  <c r="T39" i="6" s="1"/>
  <c r="Q39" i="6"/>
  <c r="R39" i="6"/>
  <c r="K40" i="6"/>
  <c r="L40" i="6"/>
  <c r="M40" i="6"/>
  <c r="N40" i="6"/>
  <c r="P40" i="6"/>
  <c r="T40" i="6" s="1"/>
  <c r="Q40" i="6"/>
  <c r="R40" i="6"/>
  <c r="K41" i="6"/>
  <c r="L41" i="6"/>
  <c r="M41" i="6"/>
  <c r="N41" i="6"/>
  <c r="P41" i="6"/>
  <c r="T41" i="6" s="1"/>
  <c r="Q41" i="6"/>
  <c r="R41" i="6"/>
  <c r="K42" i="6"/>
  <c r="L42" i="6"/>
  <c r="M42" i="6"/>
  <c r="N42" i="6"/>
  <c r="P42" i="6"/>
  <c r="T42" i="6" s="1"/>
  <c r="Q42" i="6"/>
  <c r="R42" i="6"/>
  <c r="K43" i="6"/>
  <c r="L43" i="6"/>
  <c r="M43" i="6"/>
  <c r="N43" i="6"/>
  <c r="P43" i="6"/>
  <c r="T43" i="6" s="1"/>
  <c r="Q43" i="6"/>
  <c r="R43" i="6"/>
  <c r="K44" i="6"/>
  <c r="L44" i="6"/>
  <c r="M44" i="6"/>
  <c r="N44" i="6"/>
  <c r="P44" i="6"/>
  <c r="T44" i="6" s="1"/>
  <c r="Q44" i="6"/>
  <c r="R44" i="6"/>
  <c r="K45" i="6"/>
  <c r="L45" i="6"/>
  <c r="M45" i="6"/>
  <c r="N45" i="6"/>
  <c r="P45" i="6"/>
  <c r="T45" i="6" s="1"/>
  <c r="Q45" i="6"/>
  <c r="R45" i="6"/>
  <c r="K46" i="6"/>
  <c r="L46" i="6"/>
  <c r="M46" i="6"/>
  <c r="N46" i="6"/>
  <c r="P46" i="6"/>
  <c r="T46" i="6" s="1"/>
  <c r="Q46" i="6"/>
  <c r="K47" i="6"/>
  <c r="L47" i="6"/>
  <c r="M47" i="6"/>
  <c r="N47" i="6"/>
  <c r="P47" i="6"/>
  <c r="T47" i="6" s="1"/>
  <c r="Q47" i="6"/>
  <c r="R47" i="6"/>
  <c r="K48" i="6"/>
  <c r="L48" i="6"/>
  <c r="M48" i="6"/>
  <c r="N48" i="6"/>
  <c r="P48" i="6"/>
  <c r="T48" i="6" s="1"/>
  <c r="Q48" i="6"/>
  <c r="K49" i="6"/>
  <c r="L49" i="6"/>
  <c r="M49" i="6"/>
  <c r="N49" i="6"/>
  <c r="P49" i="6"/>
  <c r="T49" i="6" s="1"/>
  <c r="Q49" i="6"/>
  <c r="R49" i="6"/>
  <c r="K50" i="6"/>
  <c r="L50" i="6"/>
  <c r="M50" i="6"/>
  <c r="N50" i="6"/>
  <c r="P50" i="6"/>
  <c r="T50" i="6" s="1"/>
  <c r="Q50" i="6"/>
  <c r="R50" i="6"/>
  <c r="K51" i="6"/>
  <c r="L51" i="6"/>
  <c r="M51" i="6"/>
  <c r="N51" i="6"/>
  <c r="P51" i="6"/>
  <c r="T51" i="6" s="1"/>
  <c r="Q51" i="6"/>
  <c r="R51" i="6"/>
  <c r="K52" i="6"/>
  <c r="L52" i="6"/>
  <c r="M52" i="6"/>
  <c r="N52" i="6"/>
  <c r="P52" i="6"/>
  <c r="T52" i="6" s="1"/>
  <c r="Q52" i="6"/>
  <c r="R52" i="6"/>
  <c r="K53" i="6"/>
  <c r="L53" i="6"/>
  <c r="M53" i="6"/>
  <c r="N53" i="6"/>
  <c r="P53" i="6"/>
  <c r="T53" i="6" s="1"/>
  <c r="Q53" i="6"/>
  <c r="R53" i="6"/>
  <c r="K54" i="6"/>
  <c r="L54" i="6"/>
  <c r="M54" i="6"/>
  <c r="N54" i="6"/>
  <c r="P54" i="6"/>
  <c r="T54" i="6" s="1"/>
  <c r="Q54" i="6"/>
  <c r="K55" i="6"/>
  <c r="L55" i="6"/>
  <c r="M55" i="6"/>
  <c r="N55" i="6"/>
  <c r="P55" i="6"/>
  <c r="T55" i="6" s="1"/>
  <c r="Q55" i="6"/>
  <c r="K56" i="6"/>
  <c r="L56" i="6"/>
  <c r="M56" i="6"/>
  <c r="N56" i="6"/>
  <c r="P56" i="6"/>
  <c r="T56" i="6" s="1"/>
  <c r="Q56" i="6"/>
  <c r="K57" i="6"/>
  <c r="L57" i="6"/>
  <c r="M57" i="6"/>
  <c r="N57" i="6"/>
  <c r="P57" i="6"/>
  <c r="T57" i="6" s="1"/>
  <c r="Q57" i="6"/>
  <c r="R57" i="6"/>
  <c r="K58" i="6"/>
  <c r="L58" i="6"/>
  <c r="M58" i="6"/>
  <c r="N58" i="6"/>
  <c r="P58" i="6"/>
  <c r="T58" i="6" s="1"/>
  <c r="Q58" i="6"/>
  <c r="K59" i="6"/>
  <c r="L59" i="6"/>
  <c r="M59" i="6"/>
  <c r="N59" i="6"/>
  <c r="P59" i="6"/>
  <c r="T59" i="6" s="1"/>
  <c r="Q59" i="6"/>
  <c r="R59" i="6"/>
  <c r="K60" i="6"/>
  <c r="L60" i="6"/>
  <c r="M60" i="6"/>
  <c r="N60" i="6"/>
  <c r="P60" i="6"/>
  <c r="T60" i="6" s="1"/>
  <c r="Q60" i="6"/>
  <c r="R60" i="6"/>
  <c r="K61" i="6"/>
  <c r="L61" i="6"/>
  <c r="M61" i="6"/>
  <c r="N61" i="6"/>
  <c r="P61" i="6"/>
  <c r="T61" i="6" s="1"/>
  <c r="Q61" i="6"/>
  <c r="R61" i="6"/>
  <c r="K62" i="6"/>
  <c r="L62" i="6"/>
  <c r="M62" i="6"/>
  <c r="N62" i="6"/>
  <c r="P62" i="6"/>
  <c r="T62" i="6" s="1"/>
  <c r="Q62" i="6"/>
  <c r="K63" i="6"/>
  <c r="L63" i="6"/>
  <c r="M63" i="6"/>
  <c r="N63" i="6"/>
  <c r="P63" i="6"/>
  <c r="T63" i="6" s="1"/>
  <c r="Q63" i="6"/>
  <c r="R63" i="6"/>
  <c r="K64" i="6"/>
  <c r="L64" i="6"/>
  <c r="M64" i="6"/>
  <c r="N64" i="6"/>
  <c r="P64" i="6"/>
  <c r="T64" i="6" s="1"/>
  <c r="Q64" i="6"/>
  <c r="R64" i="6"/>
  <c r="K65" i="6"/>
  <c r="L65" i="6"/>
  <c r="M65" i="6"/>
  <c r="N65" i="6"/>
  <c r="P65" i="6"/>
  <c r="T65" i="6" s="1"/>
  <c r="Q65" i="6"/>
  <c r="K66" i="6"/>
  <c r="L66" i="6"/>
  <c r="M66" i="6"/>
  <c r="N66" i="6"/>
  <c r="P66" i="6"/>
  <c r="T66" i="6" s="1"/>
  <c r="Q66" i="6"/>
  <c r="K67" i="6"/>
  <c r="L67" i="6"/>
  <c r="M67" i="6"/>
  <c r="N67" i="6"/>
  <c r="P67" i="6"/>
  <c r="T67" i="6" s="1"/>
  <c r="Q67" i="6"/>
  <c r="K68" i="6"/>
  <c r="L68" i="6"/>
  <c r="M68" i="6"/>
  <c r="N68" i="6"/>
  <c r="P68" i="6"/>
  <c r="T68" i="6" s="1"/>
  <c r="Q68" i="6"/>
  <c r="R68" i="6"/>
  <c r="K69" i="6"/>
  <c r="L69" i="6"/>
  <c r="M69" i="6"/>
  <c r="N69" i="6"/>
  <c r="P69" i="6"/>
  <c r="T69" i="6" s="1"/>
  <c r="Q69" i="6"/>
  <c r="K70" i="6"/>
  <c r="L70" i="6"/>
  <c r="M70" i="6"/>
  <c r="N70" i="6"/>
  <c r="P70" i="6"/>
  <c r="T70" i="6" s="1"/>
  <c r="Q70" i="6"/>
  <c r="R70" i="6"/>
  <c r="K71" i="6"/>
  <c r="L71" i="6"/>
  <c r="M71" i="6"/>
  <c r="N71" i="6"/>
  <c r="P71" i="6"/>
  <c r="T71" i="6" s="1"/>
  <c r="Q71" i="6"/>
  <c r="R71" i="6"/>
  <c r="K72" i="6"/>
  <c r="L72" i="6"/>
  <c r="M72" i="6"/>
  <c r="N72" i="6"/>
  <c r="P72" i="6"/>
  <c r="T72" i="6" s="1"/>
  <c r="Q72" i="6"/>
  <c r="K73" i="6"/>
  <c r="L73" i="6"/>
  <c r="M73" i="6"/>
  <c r="N73" i="6"/>
  <c r="P73" i="6"/>
  <c r="T73" i="6" s="1"/>
  <c r="Q73" i="6"/>
  <c r="R73" i="6"/>
  <c r="K74" i="6"/>
  <c r="L74" i="6"/>
  <c r="M74" i="6"/>
  <c r="N74" i="6"/>
  <c r="P74" i="6"/>
  <c r="T74" i="6" s="1"/>
  <c r="Q74" i="6"/>
  <c r="R74" i="6"/>
  <c r="K75" i="6"/>
  <c r="L75" i="6"/>
  <c r="M75" i="6"/>
  <c r="N75" i="6"/>
  <c r="P75" i="6"/>
  <c r="T75" i="6" s="1"/>
  <c r="Q75" i="6"/>
  <c r="K76" i="6"/>
  <c r="L76" i="6"/>
  <c r="M76" i="6"/>
  <c r="N76" i="6"/>
  <c r="P76" i="6"/>
  <c r="T76" i="6" s="1"/>
  <c r="Q76" i="6"/>
  <c r="K77" i="6"/>
  <c r="L77" i="6"/>
  <c r="M77" i="6"/>
  <c r="N77" i="6"/>
  <c r="P77" i="6"/>
  <c r="T77" i="6" s="1"/>
  <c r="Q77" i="6"/>
  <c r="K78" i="6"/>
  <c r="L78" i="6"/>
  <c r="M78" i="6"/>
  <c r="N78" i="6"/>
  <c r="P78" i="6"/>
  <c r="T78" i="6" s="1"/>
  <c r="Q78" i="6"/>
  <c r="R78" i="6"/>
  <c r="K79" i="6"/>
  <c r="L79" i="6"/>
  <c r="M79" i="6"/>
  <c r="N79" i="6"/>
  <c r="P79" i="6"/>
  <c r="T79" i="6" s="1"/>
  <c r="Q79" i="6"/>
  <c r="R79" i="6"/>
  <c r="K80" i="6"/>
  <c r="L80" i="6"/>
  <c r="M80" i="6"/>
  <c r="N80" i="6"/>
  <c r="P80" i="6"/>
  <c r="T80" i="6" s="1"/>
  <c r="Q80" i="6"/>
  <c r="R80" i="6"/>
  <c r="K81" i="6"/>
  <c r="L81" i="6"/>
  <c r="M81" i="6"/>
  <c r="N81" i="6"/>
  <c r="P81" i="6"/>
  <c r="T81" i="6" s="1"/>
  <c r="Q81" i="6"/>
  <c r="K82" i="6"/>
  <c r="L82" i="6"/>
  <c r="M82" i="6"/>
  <c r="N82" i="6"/>
  <c r="P82" i="6"/>
  <c r="T82" i="6" s="1"/>
  <c r="Q82" i="6"/>
  <c r="R82" i="6"/>
  <c r="K83" i="6"/>
  <c r="L83" i="6"/>
  <c r="M83" i="6"/>
  <c r="N83" i="6"/>
  <c r="P83" i="6"/>
  <c r="T83" i="6" s="1"/>
  <c r="Q83" i="6"/>
  <c r="R83" i="6"/>
  <c r="K84" i="6"/>
  <c r="L84" i="6"/>
  <c r="M84" i="6"/>
  <c r="N84" i="6"/>
  <c r="P84" i="6"/>
  <c r="T84" i="6" s="1"/>
  <c r="Q84" i="6"/>
  <c r="K85" i="6"/>
  <c r="L85" i="6"/>
  <c r="M85" i="6"/>
  <c r="N85" i="6"/>
  <c r="P85" i="6"/>
  <c r="T85" i="6" s="1"/>
  <c r="Q85" i="6"/>
  <c r="R85" i="6"/>
  <c r="K86" i="6"/>
  <c r="L86" i="6"/>
  <c r="M86" i="6"/>
  <c r="N86" i="6"/>
  <c r="P86" i="6"/>
  <c r="T86" i="6" s="1"/>
  <c r="Q86" i="6"/>
  <c r="K87" i="6"/>
  <c r="L87" i="6"/>
  <c r="M87" i="6"/>
  <c r="N87" i="6"/>
  <c r="P87" i="6"/>
  <c r="T87" i="6" s="1"/>
  <c r="Q87" i="6"/>
  <c r="K88" i="6"/>
  <c r="L88" i="6"/>
  <c r="M88" i="6"/>
  <c r="N88" i="6"/>
  <c r="P88" i="6"/>
  <c r="T88" i="6" s="1"/>
  <c r="Q88" i="6"/>
  <c r="K89" i="6"/>
  <c r="L89" i="6"/>
  <c r="M89" i="6"/>
  <c r="N89" i="6"/>
  <c r="P89" i="6"/>
  <c r="T89" i="6" s="1"/>
  <c r="Q89" i="6"/>
  <c r="K90" i="6"/>
  <c r="L90" i="6"/>
  <c r="M90" i="6"/>
  <c r="N90" i="6"/>
  <c r="P90" i="6"/>
  <c r="T90" i="6" s="1"/>
  <c r="Q90" i="6"/>
  <c r="K91" i="6"/>
  <c r="L91" i="6"/>
  <c r="M91" i="6"/>
  <c r="N91" i="6"/>
  <c r="P91" i="6"/>
  <c r="T91" i="6" s="1"/>
  <c r="Q91" i="6"/>
  <c r="K92" i="6"/>
  <c r="L92" i="6"/>
  <c r="M92" i="6"/>
  <c r="N92" i="6"/>
  <c r="P92" i="6"/>
  <c r="T92" i="6" s="1"/>
  <c r="Q92" i="6"/>
  <c r="K93" i="6"/>
  <c r="L93" i="6"/>
  <c r="M93" i="6"/>
  <c r="N93" i="6"/>
  <c r="P93" i="6"/>
  <c r="T93" i="6" s="1"/>
  <c r="Q93" i="6"/>
  <c r="N94" i="6"/>
  <c r="P94" i="6"/>
  <c r="T94" i="6" s="1"/>
  <c r="Q94" i="6"/>
  <c r="K95" i="6"/>
  <c r="L95" i="6"/>
  <c r="M95" i="6"/>
  <c r="N95" i="6"/>
  <c r="P95" i="6"/>
  <c r="T95" i="6" s="1"/>
  <c r="Q95" i="6"/>
  <c r="R95" i="6"/>
  <c r="K96" i="6"/>
  <c r="L96" i="6"/>
  <c r="M96" i="6"/>
  <c r="N96" i="6"/>
  <c r="P96" i="6"/>
  <c r="Q96" i="6"/>
  <c r="R96" i="6"/>
  <c r="K97" i="6"/>
  <c r="L97" i="6"/>
  <c r="M97" i="6"/>
  <c r="N97" i="6"/>
  <c r="P97" i="6"/>
  <c r="Q97" i="6"/>
  <c r="R97" i="6"/>
  <c r="K98" i="6"/>
  <c r="L98" i="6"/>
  <c r="M98" i="6"/>
  <c r="N98" i="6"/>
  <c r="P98" i="6"/>
  <c r="Q98" i="6"/>
  <c r="R98" i="6"/>
  <c r="K99" i="6"/>
  <c r="L99" i="6"/>
  <c r="M99" i="6"/>
  <c r="N99" i="6"/>
  <c r="P99" i="6"/>
  <c r="Q99" i="6"/>
  <c r="R99" i="6"/>
  <c r="K100" i="6"/>
  <c r="L100" i="6"/>
  <c r="M100" i="6"/>
  <c r="N100" i="6"/>
  <c r="P100" i="6"/>
  <c r="Q100" i="6"/>
  <c r="R100" i="6"/>
  <c r="K101" i="6"/>
  <c r="L101" i="6"/>
  <c r="M101" i="6"/>
  <c r="N101" i="6"/>
  <c r="P101" i="6"/>
  <c r="Q101" i="6"/>
  <c r="R101" i="6"/>
  <c r="K102" i="6"/>
  <c r="L102" i="6"/>
  <c r="M102" i="6"/>
  <c r="N102" i="6"/>
  <c r="P102" i="6"/>
  <c r="Q102" i="6"/>
  <c r="R102" i="6"/>
  <c r="K103" i="6"/>
  <c r="L103" i="6"/>
  <c r="M103" i="6"/>
  <c r="N103" i="6"/>
  <c r="P103" i="6"/>
  <c r="Q103" i="6"/>
  <c r="R103" i="6"/>
  <c r="K104" i="6"/>
  <c r="L104" i="6"/>
  <c r="M104" i="6"/>
  <c r="N104" i="6"/>
  <c r="P104" i="6"/>
  <c r="Q104" i="6"/>
  <c r="R104" i="6"/>
  <c r="K105" i="6"/>
  <c r="L105" i="6"/>
  <c r="M105" i="6"/>
  <c r="N105" i="6"/>
  <c r="P105" i="6"/>
  <c r="Q105" i="6"/>
  <c r="R105" i="6"/>
  <c r="K106" i="6"/>
  <c r="L106" i="6"/>
  <c r="M106" i="6"/>
  <c r="N106" i="6"/>
  <c r="P106" i="6"/>
  <c r="Q106" i="6"/>
  <c r="R106" i="6"/>
  <c r="K107" i="6"/>
  <c r="L107" i="6"/>
  <c r="M107" i="6"/>
  <c r="N107" i="6"/>
  <c r="P107" i="6"/>
  <c r="Q107" i="6"/>
  <c r="R107" i="6"/>
  <c r="K108" i="6"/>
  <c r="L108" i="6"/>
  <c r="M108" i="6"/>
  <c r="N108" i="6"/>
  <c r="P108" i="6"/>
  <c r="Q108" i="6"/>
  <c r="R108" i="6"/>
  <c r="K4" i="7"/>
  <c r="L4" i="7"/>
  <c r="M4" i="7"/>
  <c r="N4" i="7"/>
  <c r="P4" i="7"/>
  <c r="T4" i="7" s="1"/>
  <c r="Q4" i="7"/>
  <c r="R4" i="7"/>
  <c r="K5" i="7"/>
  <c r="L5" i="7"/>
  <c r="M5" i="7"/>
  <c r="N5" i="7"/>
  <c r="P5" i="7"/>
  <c r="T5" i="7" s="1"/>
  <c r="Q5" i="7"/>
  <c r="R5" i="7"/>
  <c r="K6" i="7"/>
  <c r="L6" i="7"/>
  <c r="N6" i="7"/>
  <c r="P6" i="7"/>
  <c r="T6" i="7" s="1"/>
  <c r="Q6" i="7"/>
  <c r="R6" i="7"/>
  <c r="K7" i="7"/>
  <c r="L7" i="7"/>
  <c r="M7" i="7"/>
  <c r="N7" i="7"/>
  <c r="P7" i="7"/>
  <c r="T7" i="7" s="1"/>
  <c r="Q7" i="7"/>
  <c r="R7" i="7"/>
  <c r="K8" i="7"/>
  <c r="L8" i="7"/>
  <c r="M8" i="7"/>
  <c r="N8" i="7"/>
  <c r="P8" i="7"/>
  <c r="T8" i="7" s="1"/>
  <c r="Q8" i="7"/>
  <c r="R8" i="7"/>
  <c r="K9" i="7"/>
  <c r="L9" i="7"/>
  <c r="M9" i="7"/>
  <c r="N9" i="7"/>
  <c r="P9" i="7"/>
  <c r="T9" i="7" s="1"/>
  <c r="Q9" i="7"/>
  <c r="R9" i="7"/>
  <c r="K10" i="7"/>
  <c r="L10" i="7"/>
  <c r="M10" i="7"/>
  <c r="N10" i="7"/>
  <c r="P10" i="7"/>
  <c r="T10" i="7" s="1"/>
  <c r="Q10" i="7"/>
  <c r="R10" i="7"/>
  <c r="K11" i="7"/>
  <c r="L11" i="7"/>
  <c r="M11" i="7"/>
  <c r="N11" i="7"/>
  <c r="P11" i="7"/>
  <c r="T11" i="7" s="1"/>
  <c r="Q11" i="7"/>
  <c r="R11" i="7"/>
  <c r="K12" i="7"/>
  <c r="L12" i="7"/>
  <c r="M12" i="7"/>
  <c r="N12" i="7"/>
  <c r="P12" i="7"/>
  <c r="T12" i="7" s="1"/>
  <c r="Q12" i="7"/>
  <c r="R12" i="7"/>
  <c r="K13" i="7"/>
  <c r="L13" i="7"/>
  <c r="M13" i="7"/>
  <c r="N13" i="7"/>
  <c r="P13" i="7"/>
  <c r="T13" i="7" s="1"/>
  <c r="Q13" i="7"/>
  <c r="R13" i="7"/>
  <c r="K14" i="7"/>
  <c r="L14" i="7"/>
  <c r="M14" i="7"/>
  <c r="N14" i="7"/>
  <c r="P14" i="7"/>
  <c r="T14" i="7" s="1"/>
  <c r="Q14" i="7"/>
  <c r="R14" i="7"/>
  <c r="K15" i="7"/>
  <c r="L15" i="7"/>
  <c r="M15" i="7"/>
  <c r="N15" i="7"/>
  <c r="P15" i="7"/>
  <c r="T15" i="7" s="1"/>
  <c r="Q15" i="7"/>
  <c r="R15" i="7"/>
  <c r="K16" i="7"/>
  <c r="L16" i="7"/>
  <c r="M16" i="7"/>
  <c r="N16" i="7"/>
  <c r="P16" i="7"/>
  <c r="T16" i="7" s="1"/>
  <c r="Q16" i="7"/>
  <c r="R16" i="7"/>
  <c r="K17" i="7"/>
  <c r="L17" i="7"/>
  <c r="N17" i="7"/>
  <c r="P17" i="7"/>
  <c r="T17" i="7" s="1"/>
  <c r="Q17" i="7"/>
  <c r="K18" i="7"/>
  <c r="L18" i="7"/>
  <c r="M18" i="7"/>
  <c r="N18" i="7"/>
  <c r="P18" i="7"/>
  <c r="T18" i="7" s="1"/>
  <c r="Q18" i="7"/>
  <c r="R18" i="7"/>
  <c r="K19" i="7"/>
  <c r="L19" i="7"/>
  <c r="M19" i="7"/>
  <c r="N19" i="7"/>
  <c r="P19" i="7"/>
  <c r="T19" i="7" s="1"/>
  <c r="Q19" i="7"/>
  <c r="R19" i="7"/>
  <c r="K20" i="7"/>
  <c r="L20" i="7"/>
  <c r="M20" i="7"/>
  <c r="N20" i="7"/>
  <c r="P20" i="7"/>
  <c r="T20" i="7" s="1"/>
  <c r="Q20" i="7"/>
  <c r="R20" i="7"/>
  <c r="K21" i="7"/>
  <c r="L21" i="7"/>
  <c r="N21" i="7"/>
  <c r="P21" i="7"/>
  <c r="T21" i="7" s="1"/>
  <c r="Q21" i="7"/>
  <c r="R21" i="7"/>
  <c r="K22" i="7"/>
  <c r="L22" i="7"/>
  <c r="M22" i="7"/>
  <c r="N22" i="7"/>
  <c r="P22" i="7"/>
  <c r="T22" i="7" s="1"/>
  <c r="Q22" i="7"/>
  <c r="R22" i="7"/>
  <c r="K23" i="7"/>
  <c r="L23" i="7"/>
  <c r="M23" i="7"/>
  <c r="N23" i="7"/>
  <c r="P23" i="7"/>
  <c r="T23" i="7" s="1"/>
  <c r="Q23" i="7"/>
  <c r="R23" i="7"/>
  <c r="K24" i="7"/>
  <c r="L24" i="7"/>
  <c r="M24" i="7"/>
  <c r="N24" i="7"/>
  <c r="P24" i="7"/>
  <c r="T24" i="7" s="1"/>
  <c r="Q24" i="7"/>
  <c r="R24" i="7"/>
  <c r="K25" i="7"/>
  <c r="L25" i="7"/>
  <c r="M25" i="7"/>
  <c r="N25" i="7"/>
  <c r="P25" i="7"/>
  <c r="T25" i="7" s="1"/>
  <c r="Q25" i="7"/>
  <c r="K26" i="7"/>
  <c r="L26" i="7"/>
  <c r="M26" i="7"/>
  <c r="N26" i="7"/>
  <c r="P26" i="7"/>
  <c r="T26" i="7" s="1"/>
  <c r="Q26" i="7"/>
  <c r="R26" i="7"/>
  <c r="K27" i="7"/>
  <c r="L27" i="7"/>
  <c r="M27" i="7"/>
  <c r="N27" i="7"/>
  <c r="P27" i="7"/>
  <c r="T27" i="7" s="1"/>
  <c r="Q27" i="7"/>
  <c r="R27" i="7"/>
  <c r="K28" i="7"/>
  <c r="L28" i="7"/>
  <c r="M28" i="7"/>
  <c r="N28" i="7"/>
  <c r="P28" i="7"/>
  <c r="T28" i="7" s="1"/>
  <c r="Q28" i="7"/>
  <c r="R28" i="7"/>
  <c r="K29" i="7"/>
  <c r="L29" i="7"/>
  <c r="N29" i="7"/>
  <c r="P29" i="7"/>
  <c r="T29" i="7" s="1"/>
  <c r="Q29" i="7"/>
  <c r="R29" i="7"/>
  <c r="K30" i="7"/>
  <c r="L30" i="7"/>
  <c r="M30" i="7"/>
  <c r="N30" i="7"/>
  <c r="P30" i="7"/>
  <c r="T30" i="7" s="1"/>
  <c r="Q30" i="7"/>
  <c r="R30" i="7"/>
  <c r="K31" i="7"/>
  <c r="L31" i="7"/>
  <c r="M31" i="7"/>
  <c r="N31" i="7"/>
  <c r="P31" i="7"/>
  <c r="T31" i="7" s="1"/>
  <c r="Q31" i="7"/>
  <c r="K32" i="7"/>
  <c r="L32" i="7"/>
  <c r="N32" i="7"/>
  <c r="P32" i="7"/>
  <c r="T32" i="7" s="1"/>
  <c r="Q32" i="7"/>
  <c r="R32" i="7"/>
  <c r="K33" i="7"/>
  <c r="L33" i="7"/>
  <c r="M33" i="7"/>
  <c r="N33" i="7"/>
  <c r="P33" i="7"/>
  <c r="T33" i="7" s="1"/>
  <c r="Q33" i="7"/>
  <c r="R33" i="7"/>
  <c r="K34" i="7"/>
  <c r="L34" i="7"/>
  <c r="M34" i="7"/>
  <c r="N34" i="7"/>
  <c r="P34" i="7"/>
  <c r="T34" i="7" s="1"/>
  <c r="Q34" i="7"/>
  <c r="R34" i="7"/>
  <c r="K35" i="7"/>
  <c r="L35" i="7"/>
  <c r="M35" i="7"/>
  <c r="N35" i="7"/>
  <c r="P35" i="7"/>
  <c r="T35" i="7" s="1"/>
  <c r="Q35" i="7"/>
  <c r="R35" i="7"/>
  <c r="K36" i="7"/>
  <c r="L36" i="7"/>
  <c r="M36" i="7"/>
  <c r="N36" i="7"/>
  <c r="P36" i="7"/>
  <c r="T36" i="7" s="1"/>
  <c r="Q36" i="7"/>
  <c r="R36" i="7"/>
  <c r="K37" i="7"/>
  <c r="L37" i="7"/>
  <c r="N37" i="7"/>
  <c r="P37" i="7"/>
  <c r="T37" i="7" s="1"/>
  <c r="Q37" i="7"/>
  <c r="R37" i="7"/>
  <c r="K38" i="7"/>
  <c r="L38" i="7"/>
  <c r="M38" i="7"/>
  <c r="N38" i="7"/>
  <c r="P38" i="7"/>
  <c r="T38" i="7" s="1"/>
  <c r="Q38" i="7"/>
  <c r="R38" i="7"/>
  <c r="K39" i="7"/>
  <c r="L39" i="7"/>
  <c r="M39" i="7"/>
  <c r="N39" i="7"/>
  <c r="P39" i="7"/>
  <c r="T39" i="7" s="1"/>
  <c r="Q39" i="7"/>
  <c r="R39" i="7"/>
  <c r="K40" i="7"/>
  <c r="L40" i="7"/>
  <c r="N40" i="7"/>
  <c r="P40" i="7"/>
  <c r="T40" i="7" s="1"/>
  <c r="Q40" i="7"/>
  <c r="K41" i="7"/>
  <c r="L41" i="7"/>
  <c r="M41" i="7"/>
  <c r="N41" i="7"/>
  <c r="P41" i="7"/>
  <c r="T41" i="7" s="1"/>
  <c r="Q41" i="7"/>
  <c r="K42" i="7"/>
  <c r="L42" i="7"/>
  <c r="M42" i="7"/>
  <c r="N42" i="7"/>
  <c r="P42" i="7"/>
  <c r="T42" i="7" s="1"/>
  <c r="Q42" i="7"/>
  <c r="R42" i="7"/>
  <c r="K43" i="7"/>
  <c r="L43" i="7"/>
  <c r="N43" i="7"/>
  <c r="P43" i="7"/>
  <c r="T43" i="7" s="1"/>
  <c r="Q43" i="7"/>
  <c r="R43" i="7"/>
  <c r="K44" i="7"/>
  <c r="L44" i="7"/>
  <c r="M44" i="7"/>
  <c r="N44" i="7"/>
  <c r="P44" i="7"/>
  <c r="T44" i="7" s="1"/>
  <c r="Q44" i="7"/>
  <c r="R44" i="7"/>
  <c r="K45" i="7"/>
  <c r="L45" i="7"/>
  <c r="M45" i="7"/>
  <c r="N45" i="7"/>
  <c r="P45" i="7"/>
  <c r="T45" i="7" s="1"/>
  <c r="Q45" i="7"/>
  <c r="R45" i="7"/>
  <c r="K46" i="7"/>
  <c r="L46" i="7"/>
  <c r="M46" i="7"/>
  <c r="N46" i="7"/>
  <c r="P46" i="7"/>
  <c r="T46" i="7" s="1"/>
  <c r="Q46" i="7"/>
  <c r="R46" i="7"/>
  <c r="K47" i="7"/>
  <c r="L47" i="7"/>
  <c r="M47" i="7"/>
  <c r="N47" i="7"/>
  <c r="P47" i="7"/>
  <c r="T47" i="7" s="1"/>
  <c r="Q47" i="7"/>
  <c r="R47" i="7"/>
  <c r="K48" i="7"/>
  <c r="L48" i="7"/>
  <c r="M48" i="7"/>
  <c r="N48" i="7"/>
  <c r="P48" i="7"/>
  <c r="T48" i="7" s="1"/>
  <c r="Q48" i="7"/>
  <c r="R48" i="7"/>
  <c r="K49" i="7"/>
  <c r="L49" i="7"/>
  <c r="N49" i="7"/>
  <c r="P49" i="7"/>
  <c r="T49" i="7" s="1"/>
  <c r="Q49" i="7"/>
  <c r="R49" i="7"/>
  <c r="K50" i="7"/>
  <c r="L50" i="7"/>
  <c r="M50" i="7"/>
  <c r="N50" i="7"/>
  <c r="P50" i="7"/>
  <c r="T50" i="7" s="1"/>
  <c r="Q50" i="7"/>
  <c r="R50" i="7"/>
  <c r="K51" i="7"/>
  <c r="L51" i="7"/>
  <c r="M51" i="7"/>
  <c r="N51" i="7"/>
  <c r="P51" i="7"/>
  <c r="T51" i="7" s="1"/>
  <c r="Q51" i="7"/>
  <c r="R51" i="7"/>
  <c r="K52" i="7"/>
  <c r="L52" i="7"/>
  <c r="M52" i="7"/>
  <c r="N52" i="7"/>
  <c r="P52" i="7"/>
  <c r="T52" i="7" s="1"/>
  <c r="Q52" i="7"/>
  <c r="K53" i="7"/>
  <c r="L53" i="7"/>
  <c r="M53" i="7"/>
  <c r="N53" i="7"/>
  <c r="P53" i="7"/>
  <c r="T53" i="7" s="1"/>
  <c r="Q53" i="7"/>
  <c r="R53" i="7"/>
  <c r="K54" i="7"/>
  <c r="L54" i="7"/>
  <c r="M54" i="7"/>
  <c r="N54" i="7"/>
  <c r="P54" i="7"/>
  <c r="T54" i="7" s="1"/>
  <c r="Q54" i="7"/>
  <c r="R54" i="7"/>
  <c r="K55" i="7"/>
  <c r="L55" i="7"/>
  <c r="N55" i="7"/>
  <c r="P55" i="7"/>
  <c r="T55" i="7" s="1"/>
  <c r="Q55" i="7"/>
  <c r="K56" i="7"/>
  <c r="L56" i="7"/>
  <c r="M56" i="7"/>
  <c r="N56" i="7"/>
  <c r="P56" i="7"/>
  <c r="T56" i="7" s="1"/>
  <c r="Q56" i="7"/>
  <c r="R56" i="7"/>
  <c r="K57" i="7"/>
  <c r="L57" i="7"/>
  <c r="M57" i="7"/>
  <c r="N57" i="7"/>
  <c r="P57" i="7"/>
  <c r="T57" i="7" s="1"/>
  <c r="Q57" i="7"/>
  <c r="R57" i="7"/>
  <c r="K58" i="7"/>
  <c r="L58" i="7"/>
  <c r="M58" i="7"/>
  <c r="N58" i="7"/>
  <c r="P58" i="7"/>
  <c r="T58" i="7" s="1"/>
  <c r="Q58" i="7"/>
  <c r="R58" i="7"/>
  <c r="K59" i="7"/>
  <c r="L59" i="7"/>
  <c r="N59" i="7"/>
  <c r="P59" i="7"/>
  <c r="T59" i="7" s="1"/>
  <c r="Q59" i="7"/>
  <c r="K60" i="7"/>
  <c r="L60" i="7"/>
  <c r="M60" i="7"/>
  <c r="N60" i="7"/>
  <c r="P60" i="7"/>
  <c r="T60" i="7" s="1"/>
  <c r="Q60" i="7"/>
  <c r="R60" i="7"/>
  <c r="K61" i="7"/>
  <c r="L61" i="7"/>
  <c r="M61" i="7"/>
  <c r="N61" i="7"/>
  <c r="P61" i="7"/>
  <c r="T61" i="7" s="1"/>
  <c r="Q61" i="7"/>
  <c r="K62" i="7"/>
  <c r="L62" i="7"/>
  <c r="M62" i="7"/>
  <c r="N62" i="7"/>
  <c r="P62" i="7"/>
  <c r="T62" i="7" s="1"/>
  <c r="Q62" i="7"/>
  <c r="R62" i="7"/>
  <c r="K63" i="7"/>
  <c r="L63" i="7"/>
  <c r="M63" i="7"/>
  <c r="N63" i="7"/>
  <c r="P63" i="7"/>
  <c r="T63" i="7" s="1"/>
  <c r="Q63" i="7"/>
  <c r="R63" i="7"/>
  <c r="K64" i="7"/>
  <c r="L64" i="7"/>
  <c r="M64" i="7"/>
  <c r="N64" i="7"/>
  <c r="P64" i="7"/>
  <c r="T64" i="7" s="1"/>
  <c r="Q64" i="7"/>
  <c r="K65" i="7"/>
  <c r="L65" i="7"/>
  <c r="M65" i="7"/>
  <c r="N65" i="7"/>
  <c r="P65" i="7"/>
  <c r="T65" i="7" s="1"/>
  <c r="Q65" i="7"/>
  <c r="R65" i="7"/>
  <c r="K66" i="7"/>
  <c r="L66" i="7"/>
  <c r="M66" i="7"/>
  <c r="N66" i="7"/>
  <c r="P66" i="7"/>
  <c r="T66" i="7" s="1"/>
  <c r="Q66" i="7"/>
  <c r="R66" i="7"/>
  <c r="K67" i="7"/>
  <c r="L67" i="7"/>
  <c r="M67" i="7"/>
  <c r="N67" i="7"/>
  <c r="P67" i="7"/>
  <c r="T67" i="7" s="1"/>
  <c r="Q67" i="7"/>
  <c r="K68" i="7"/>
  <c r="L68" i="7"/>
  <c r="M68" i="7"/>
  <c r="N68" i="7"/>
  <c r="P68" i="7"/>
  <c r="T68" i="7" s="1"/>
  <c r="Q68" i="7"/>
  <c r="R68" i="7"/>
  <c r="K69" i="7"/>
  <c r="L69" i="7"/>
  <c r="M69" i="7"/>
  <c r="N69" i="7"/>
  <c r="P69" i="7"/>
  <c r="T69" i="7" s="1"/>
  <c r="Q69" i="7"/>
  <c r="R69" i="7"/>
  <c r="K70" i="7"/>
  <c r="L70" i="7"/>
  <c r="M70" i="7"/>
  <c r="N70" i="7"/>
  <c r="P70" i="7"/>
  <c r="T70" i="7" s="1"/>
  <c r="Q70" i="7"/>
  <c r="R70" i="7"/>
  <c r="K71" i="7"/>
  <c r="L71" i="7"/>
  <c r="M71" i="7"/>
  <c r="N71" i="7"/>
  <c r="P71" i="7"/>
  <c r="T71" i="7" s="1"/>
  <c r="Q71" i="7"/>
  <c r="R71" i="7"/>
  <c r="K72" i="7"/>
  <c r="L72" i="7"/>
  <c r="M72" i="7"/>
  <c r="N72" i="7"/>
  <c r="P72" i="7"/>
  <c r="T72" i="7" s="1"/>
  <c r="Q72" i="7"/>
  <c r="R72" i="7"/>
  <c r="K73" i="7"/>
  <c r="L73" i="7"/>
  <c r="M73" i="7"/>
  <c r="N73" i="7"/>
  <c r="P73" i="7"/>
  <c r="T73" i="7" s="1"/>
  <c r="Q73" i="7"/>
  <c r="K74" i="7"/>
  <c r="L74" i="7"/>
  <c r="M74" i="7"/>
  <c r="N74" i="7"/>
  <c r="P74" i="7"/>
  <c r="T74" i="7" s="1"/>
  <c r="Q74" i="7"/>
  <c r="R74" i="7"/>
  <c r="K75" i="7"/>
  <c r="L75" i="7"/>
  <c r="M75" i="7"/>
  <c r="N75" i="7"/>
  <c r="P75" i="7"/>
  <c r="T75" i="7" s="1"/>
  <c r="Q75" i="7"/>
  <c r="R75" i="7"/>
  <c r="K76" i="7"/>
  <c r="L76" i="7"/>
  <c r="M76" i="7"/>
  <c r="N76" i="7"/>
  <c r="P76" i="7"/>
  <c r="T76" i="7" s="1"/>
  <c r="Q76" i="7"/>
  <c r="R76" i="7"/>
  <c r="K77" i="7"/>
  <c r="L77" i="7"/>
  <c r="M77" i="7"/>
  <c r="N77" i="7"/>
  <c r="P77" i="7"/>
  <c r="T77" i="7" s="1"/>
  <c r="Q77" i="7"/>
  <c r="R77" i="7"/>
  <c r="K78" i="7"/>
  <c r="L78" i="7"/>
  <c r="M78" i="7"/>
  <c r="N78" i="7"/>
  <c r="P78" i="7"/>
  <c r="T78" i="7" s="1"/>
  <c r="Q78" i="7"/>
  <c r="R78" i="7"/>
  <c r="K79" i="7"/>
  <c r="L79" i="7"/>
  <c r="M79" i="7"/>
  <c r="N79" i="7"/>
  <c r="P79" i="7"/>
  <c r="T79" i="7" s="1"/>
  <c r="Q79" i="7"/>
  <c r="R79" i="7"/>
  <c r="K80" i="7"/>
  <c r="L80" i="7"/>
  <c r="M80" i="7"/>
  <c r="N80" i="7"/>
  <c r="P80" i="7"/>
  <c r="T80" i="7" s="1"/>
  <c r="Q80" i="7"/>
  <c r="R80" i="7"/>
  <c r="K81" i="7"/>
  <c r="L81" i="7"/>
  <c r="M81" i="7"/>
  <c r="N81" i="7"/>
  <c r="P81" i="7"/>
  <c r="T81" i="7" s="1"/>
  <c r="Q81" i="7"/>
  <c r="R81" i="7"/>
  <c r="K82" i="7"/>
  <c r="L82" i="7"/>
  <c r="M82" i="7"/>
  <c r="N82" i="7"/>
  <c r="P82" i="7"/>
  <c r="T82" i="7" s="1"/>
  <c r="Q82" i="7"/>
  <c r="R82" i="7"/>
  <c r="K83" i="7"/>
  <c r="L83" i="7"/>
  <c r="M83" i="7"/>
  <c r="N83" i="7"/>
  <c r="P83" i="7"/>
  <c r="T83" i="7" s="1"/>
  <c r="Q83" i="7"/>
  <c r="K84" i="7"/>
  <c r="L84" i="7"/>
  <c r="M84" i="7"/>
  <c r="N84" i="7"/>
  <c r="P84" i="7"/>
  <c r="T84" i="7" s="1"/>
  <c r="Q84" i="7"/>
  <c r="R84" i="7"/>
  <c r="K85" i="7"/>
  <c r="L85" i="7"/>
  <c r="M85" i="7"/>
  <c r="N85" i="7"/>
  <c r="P85" i="7"/>
  <c r="T85" i="7" s="1"/>
  <c r="Q85" i="7"/>
  <c r="R85" i="7"/>
  <c r="K86" i="7"/>
  <c r="L86" i="7"/>
  <c r="M86" i="7"/>
  <c r="N86" i="7"/>
  <c r="P86" i="7"/>
  <c r="T86" i="7" s="1"/>
  <c r="Q86" i="7"/>
  <c r="R86" i="7"/>
  <c r="K87" i="7"/>
  <c r="L87" i="7"/>
  <c r="M87" i="7"/>
  <c r="N87" i="7"/>
  <c r="P87" i="7"/>
  <c r="T87" i="7" s="1"/>
  <c r="Q87" i="7"/>
  <c r="R87" i="7"/>
  <c r="K88" i="7"/>
  <c r="L88" i="7"/>
  <c r="M88" i="7"/>
  <c r="N88" i="7"/>
  <c r="P88" i="7"/>
  <c r="T88" i="7" s="1"/>
  <c r="Q88" i="7"/>
  <c r="R88" i="7"/>
  <c r="K89" i="7"/>
  <c r="L89" i="7"/>
  <c r="M89" i="7"/>
  <c r="K90" i="7"/>
  <c r="L90" i="7"/>
  <c r="M90" i="7"/>
  <c r="N90" i="7"/>
  <c r="P90" i="7"/>
  <c r="T90" i="7" s="1"/>
  <c r="Q90" i="7"/>
  <c r="R90" i="7"/>
  <c r="K91" i="7"/>
  <c r="L91" i="7"/>
  <c r="M91" i="7"/>
  <c r="N91" i="7"/>
  <c r="P91" i="7"/>
  <c r="T91" i="7" s="1"/>
  <c r="Q91" i="7"/>
  <c r="R91" i="7"/>
  <c r="K92" i="7"/>
  <c r="L92" i="7"/>
  <c r="M92" i="7"/>
  <c r="N92" i="7"/>
  <c r="P92" i="7"/>
  <c r="T92" i="7" s="1"/>
  <c r="Q92" i="7"/>
  <c r="R92" i="7"/>
  <c r="K93" i="7"/>
  <c r="L93" i="7"/>
  <c r="M93" i="7"/>
  <c r="N93" i="7"/>
  <c r="P93" i="7"/>
  <c r="T93" i="7" s="1"/>
  <c r="Q93" i="7"/>
  <c r="R93" i="7"/>
  <c r="K94" i="7"/>
  <c r="L94" i="7"/>
  <c r="M94" i="7"/>
  <c r="N94" i="7"/>
  <c r="P94" i="7"/>
  <c r="T94" i="7" s="1"/>
  <c r="Q94" i="7"/>
  <c r="R94" i="7"/>
  <c r="K95" i="7"/>
  <c r="L95" i="7"/>
  <c r="M95" i="7"/>
  <c r="N95" i="7"/>
  <c r="P95" i="7"/>
  <c r="T95" i="7" s="1"/>
  <c r="Q95" i="7"/>
  <c r="R95" i="7"/>
  <c r="K96" i="7"/>
  <c r="L96" i="7"/>
  <c r="M96" i="7"/>
  <c r="N96" i="7"/>
  <c r="P96" i="7"/>
  <c r="Q96" i="7"/>
  <c r="R96" i="7"/>
  <c r="N97" i="7"/>
  <c r="P97" i="7"/>
  <c r="Q97" i="7"/>
  <c r="R97" i="7"/>
  <c r="K98" i="7"/>
  <c r="L98" i="7"/>
  <c r="M98" i="7"/>
  <c r="N98" i="7"/>
  <c r="P98" i="7"/>
  <c r="Q98" i="7"/>
  <c r="R98" i="7"/>
  <c r="K99" i="7"/>
  <c r="L99" i="7"/>
  <c r="M99" i="7"/>
  <c r="N99" i="7"/>
  <c r="P99" i="7"/>
  <c r="Q99" i="7"/>
  <c r="R99" i="7"/>
  <c r="K100" i="7"/>
  <c r="L100" i="7"/>
  <c r="M100" i="7"/>
  <c r="N100" i="7"/>
  <c r="P100" i="7"/>
  <c r="Q100" i="7"/>
  <c r="R100" i="7"/>
  <c r="K101" i="7"/>
  <c r="L101" i="7"/>
  <c r="M101" i="7"/>
  <c r="N101" i="7"/>
  <c r="P101" i="7"/>
  <c r="Q101" i="7"/>
  <c r="R101" i="7"/>
  <c r="K102" i="7"/>
  <c r="L102" i="7"/>
  <c r="M102" i="7"/>
  <c r="N102" i="7"/>
  <c r="P102" i="7"/>
  <c r="Q102" i="7"/>
  <c r="R102" i="7"/>
  <c r="K103" i="7"/>
  <c r="L103" i="7"/>
  <c r="M103" i="7"/>
  <c r="N103" i="7"/>
  <c r="P103" i="7"/>
  <c r="Q103" i="7"/>
  <c r="R103" i="7"/>
  <c r="K104" i="7"/>
  <c r="L104" i="7"/>
  <c r="M104" i="7"/>
  <c r="N104" i="7"/>
  <c r="P104" i="7"/>
  <c r="Q104" i="7"/>
  <c r="R104" i="7"/>
  <c r="K105" i="7"/>
  <c r="L105" i="7"/>
  <c r="M105" i="7"/>
  <c r="N105" i="7"/>
  <c r="P105" i="7"/>
  <c r="Q105" i="7"/>
  <c r="R105" i="7"/>
  <c r="K106" i="7"/>
  <c r="L106" i="7"/>
  <c r="M106" i="7"/>
  <c r="N106" i="7"/>
  <c r="P106" i="7"/>
  <c r="Q106" i="7"/>
  <c r="R106" i="7"/>
  <c r="K107" i="7"/>
  <c r="L107" i="7"/>
  <c r="M107" i="7"/>
  <c r="N107" i="7"/>
  <c r="P107" i="7"/>
  <c r="Q107" i="7"/>
  <c r="R107" i="7"/>
  <c r="K108" i="7"/>
  <c r="L108" i="7"/>
  <c r="M108" i="7"/>
  <c r="N108" i="7"/>
  <c r="P108" i="7"/>
  <c r="Q108" i="7"/>
  <c r="R108" i="7"/>
  <c r="K109" i="7"/>
  <c r="L109" i="7"/>
  <c r="M109" i="7"/>
  <c r="N109" i="7"/>
  <c r="P109" i="7"/>
  <c r="Q109" i="7"/>
  <c r="R109" i="7"/>
  <c r="K4" i="8"/>
  <c r="L4" i="8"/>
  <c r="M4" i="8"/>
  <c r="N4" i="8"/>
  <c r="P4" i="8"/>
  <c r="T4" i="8" s="1"/>
  <c r="Q4" i="8"/>
  <c r="R4" i="8"/>
  <c r="K5" i="8"/>
  <c r="L5" i="8"/>
  <c r="M5" i="8"/>
  <c r="N5" i="8"/>
  <c r="P5" i="8"/>
  <c r="T5" i="8" s="1"/>
  <c r="Q5" i="8"/>
  <c r="R5" i="8"/>
  <c r="K6" i="8"/>
  <c r="L6" i="8"/>
  <c r="M6" i="8"/>
  <c r="N6" i="8"/>
  <c r="P6" i="8"/>
  <c r="T6" i="8" s="1"/>
  <c r="Q6" i="8"/>
  <c r="R6" i="8"/>
  <c r="K7" i="8"/>
  <c r="L7" i="8"/>
  <c r="M7" i="8"/>
  <c r="N7" i="8"/>
  <c r="P7" i="8"/>
  <c r="T7" i="8" s="1"/>
  <c r="Q7" i="8"/>
  <c r="R7" i="8"/>
  <c r="K8" i="8"/>
  <c r="L8" i="8"/>
  <c r="M8" i="8"/>
  <c r="N8" i="8"/>
  <c r="P8" i="8"/>
  <c r="T8" i="8" s="1"/>
  <c r="Q8" i="8"/>
  <c r="R8" i="8"/>
  <c r="K9" i="8"/>
  <c r="L9" i="8"/>
  <c r="M9" i="8"/>
  <c r="N9" i="8"/>
  <c r="P9" i="8"/>
  <c r="T9" i="8" s="1"/>
  <c r="Q9" i="8"/>
  <c r="R9" i="8"/>
  <c r="K10" i="8"/>
  <c r="L10" i="8"/>
  <c r="M10" i="8"/>
  <c r="N10" i="8"/>
  <c r="P10" i="8"/>
  <c r="T10" i="8" s="1"/>
  <c r="Q10" i="8"/>
  <c r="R10" i="8"/>
  <c r="K11" i="8"/>
  <c r="L11" i="8"/>
  <c r="M11" i="8"/>
  <c r="N11" i="8"/>
  <c r="P11" i="8"/>
  <c r="T11" i="8" s="1"/>
  <c r="Q11" i="8"/>
  <c r="R11" i="8"/>
  <c r="K12" i="8"/>
  <c r="L12" i="8"/>
  <c r="M12" i="8"/>
  <c r="N12" i="8"/>
  <c r="P12" i="8"/>
  <c r="T12" i="8" s="1"/>
  <c r="Q12" i="8"/>
  <c r="R12" i="8"/>
  <c r="K13" i="8"/>
  <c r="L13" i="8"/>
  <c r="M13" i="8"/>
  <c r="N13" i="8"/>
  <c r="P13" i="8"/>
  <c r="T13" i="8" s="1"/>
  <c r="Q13" i="8"/>
  <c r="R13" i="8"/>
  <c r="K14" i="8"/>
  <c r="L14" i="8"/>
  <c r="M14" i="8"/>
  <c r="N14" i="8"/>
  <c r="P14" i="8"/>
  <c r="T14" i="8" s="1"/>
  <c r="Q14" i="8"/>
  <c r="R14" i="8"/>
  <c r="K15" i="8"/>
  <c r="L15" i="8"/>
  <c r="M15" i="8"/>
  <c r="N15" i="8"/>
  <c r="P15" i="8"/>
  <c r="T15" i="8" s="1"/>
  <c r="Q15" i="8"/>
  <c r="R15" i="8"/>
  <c r="K16" i="8"/>
  <c r="L16" i="8"/>
  <c r="M16" i="8"/>
  <c r="N16" i="8"/>
  <c r="P16" i="8"/>
  <c r="T16" i="8" s="1"/>
  <c r="Q16" i="8"/>
  <c r="R16" i="8"/>
  <c r="K17" i="8"/>
  <c r="L17" i="8"/>
  <c r="M17" i="8"/>
  <c r="N17" i="8"/>
  <c r="P17" i="8"/>
  <c r="T17" i="8" s="1"/>
  <c r="Q17" i="8"/>
  <c r="R17" i="8"/>
  <c r="K18" i="8"/>
  <c r="L18" i="8"/>
  <c r="M18" i="8"/>
  <c r="N18" i="8"/>
  <c r="P18" i="8"/>
  <c r="T18" i="8" s="1"/>
  <c r="Q18" i="8"/>
  <c r="R18" i="8"/>
  <c r="K19" i="8"/>
  <c r="L19" i="8"/>
  <c r="N19" i="8"/>
  <c r="P19" i="8"/>
  <c r="T19" i="8" s="1"/>
  <c r="Q19" i="8"/>
  <c r="R19" i="8"/>
  <c r="K20" i="8"/>
  <c r="L20" i="8"/>
  <c r="M20" i="8"/>
  <c r="N20" i="8"/>
  <c r="P20" i="8"/>
  <c r="T20" i="8" s="1"/>
  <c r="Q20" i="8"/>
  <c r="R20" i="8"/>
  <c r="K21" i="8"/>
  <c r="L21" i="8"/>
  <c r="M21" i="8"/>
  <c r="N21" i="8"/>
  <c r="P21" i="8"/>
  <c r="T21" i="8" s="1"/>
  <c r="Q21" i="8"/>
  <c r="R21" i="8"/>
  <c r="K22" i="8"/>
  <c r="L22" i="8"/>
  <c r="M22" i="8"/>
  <c r="N22" i="8"/>
  <c r="P22" i="8"/>
  <c r="T22" i="8" s="1"/>
  <c r="Q22" i="8"/>
  <c r="R22" i="8"/>
  <c r="K23" i="8"/>
  <c r="L23" i="8"/>
  <c r="M23" i="8"/>
  <c r="N23" i="8"/>
  <c r="P23" i="8"/>
  <c r="T23" i="8" s="1"/>
  <c r="Q23" i="8"/>
  <c r="R23" i="8"/>
  <c r="K24" i="8"/>
  <c r="L24" i="8"/>
  <c r="M24" i="8"/>
  <c r="N24" i="8"/>
  <c r="P24" i="8"/>
  <c r="T24" i="8" s="1"/>
  <c r="Q24" i="8"/>
  <c r="K25" i="8"/>
  <c r="L25" i="8"/>
  <c r="M25" i="8"/>
  <c r="N25" i="8"/>
  <c r="P25" i="8"/>
  <c r="T25" i="8" s="1"/>
  <c r="Q25" i="8"/>
  <c r="R25" i="8"/>
  <c r="K26" i="8"/>
  <c r="L26" i="8"/>
  <c r="M26" i="8"/>
  <c r="N26" i="8"/>
  <c r="P26" i="8"/>
  <c r="T26" i="8" s="1"/>
  <c r="Q26" i="8"/>
  <c r="R26" i="8"/>
  <c r="K27" i="8"/>
  <c r="L27" i="8"/>
  <c r="M27" i="8"/>
  <c r="N27" i="8"/>
  <c r="P27" i="8"/>
  <c r="T27" i="8" s="1"/>
  <c r="Q27" i="8"/>
  <c r="R27" i="8"/>
  <c r="K28" i="8"/>
  <c r="L28" i="8"/>
  <c r="M28" i="8"/>
  <c r="N28" i="8"/>
  <c r="P28" i="8"/>
  <c r="T28" i="8" s="1"/>
  <c r="Q28" i="8"/>
  <c r="R28" i="8"/>
  <c r="K29" i="8"/>
  <c r="L29" i="8"/>
  <c r="M29" i="8"/>
  <c r="N29" i="8"/>
  <c r="P29" i="8"/>
  <c r="T29" i="8" s="1"/>
  <c r="Q29" i="8"/>
  <c r="K30" i="8"/>
  <c r="L30" i="8"/>
  <c r="N30" i="8"/>
  <c r="P30" i="8"/>
  <c r="T30" i="8" s="1"/>
  <c r="Q30" i="8"/>
  <c r="R30" i="8"/>
  <c r="K31" i="8"/>
  <c r="L31" i="8"/>
  <c r="M31" i="8"/>
  <c r="N31" i="8"/>
  <c r="P31" i="8"/>
  <c r="T31" i="8" s="1"/>
  <c r="Q31" i="8"/>
  <c r="R31" i="8"/>
  <c r="K32" i="8"/>
  <c r="L32" i="8"/>
  <c r="M32" i="8"/>
  <c r="N32" i="8"/>
  <c r="P32" i="8"/>
  <c r="T32" i="8" s="1"/>
  <c r="Q32" i="8"/>
  <c r="R32" i="8"/>
  <c r="K33" i="8"/>
  <c r="L33" i="8"/>
  <c r="M33" i="8"/>
  <c r="N33" i="8"/>
  <c r="P33" i="8"/>
  <c r="T33" i="8" s="1"/>
  <c r="Q33" i="8"/>
  <c r="K34" i="8"/>
  <c r="L34" i="8"/>
  <c r="M34" i="8"/>
  <c r="N34" i="8"/>
  <c r="P34" i="8"/>
  <c r="T34" i="8" s="1"/>
  <c r="Q34" i="8"/>
  <c r="R34" i="8"/>
  <c r="K35" i="8"/>
  <c r="L35" i="8"/>
  <c r="N35" i="8"/>
  <c r="P35" i="8"/>
  <c r="T35" i="8" s="1"/>
  <c r="Q35" i="8"/>
  <c r="R35" i="8"/>
  <c r="K36" i="8"/>
  <c r="L36" i="8"/>
  <c r="M36" i="8"/>
  <c r="N36" i="8"/>
  <c r="P36" i="8"/>
  <c r="T36" i="8" s="1"/>
  <c r="Q36" i="8"/>
  <c r="R36" i="8"/>
  <c r="K37" i="8"/>
  <c r="L37" i="8"/>
  <c r="M37" i="8"/>
  <c r="N37" i="8"/>
  <c r="P37" i="8"/>
  <c r="T37" i="8" s="1"/>
  <c r="Q37" i="8"/>
  <c r="R37" i="8"/>
  <c r="K38" i="8"/>
  <c r="L38" i="8"/>
  <c r="M38" i="8"/>
  <c r="N38" i="8"/>
  <c r="P38" i="8"/>
  <c r="T38" i="8" s="1"/>
  <c r="Q38" i="8"/>
  <c r="R38" i="8"/>
  <c r="K39" i="8"/>
  <c r="L39" i="8"/>
  <c r="M39" i="8"/>
  <c r="N39" i="8"/>
  <c r="P39" i="8"/>
  <c r="T39" i="8" s="1"/>
  <c r="Q39" i="8"/>
  <c r="R39" i="8"/>
  <c r="K40" i="8"/>
  <c r="L40" i="8"/>
  <c r="M40" i="8"/>
  <c r="P40" i="8"/>
  <c r="T40" i="8" s="1"/>
  <c r="Q40" i="8"/>
  <c r="R40" i="8"/>
  <c r="K41" i="8"/>
  <c r="L41" i="8"/>
  <c r="M41" i="8"/>
  <c r="N41" i="8"/>
  <c r="P41" i="8"/>
  <c r="T41" i="8" s="1"/>
  <c r="Q41" i="8"/>
  <c r="K42" i="8"/>
  <c r="L42" i="8"/>
  <c r="M42" i="8"/>
  <c r="N42" i="8"/>
  <c r="P42" i="8"/>
  <c r="T42" i="8" s="1"/>
  <c r="Q42" i="8"/>
  <c r="R42" i="8"/>
  <c r="K43" i="8"/>
  <c r="L43" i="8"/>
  <c r="M43" i="8"/>
  <c r="N43" i="8"/>
  <c r="P43" i="8"/>
  <c r="T43" i="8" s="1"/>
  <c r="Q43" i="8"/>
  <c r="R43" i="8"/>
  <c r="K44" i="8"/>
  <c r="L44" i="8"/>
  <c r="M44" i="8"/>
  <c r="N44" i="8"/>
  <c r="P44" i="8"/>
  <c r="T44" i="8" s="1"/>
  <c r="Q44" i="8"/>
  <c r="R44" i="8"/>
  <c r="K45" i="8"/>
  <c r="L45" i="8"/>
  <c r="M45" i="8"/>
  <c r="N45" i="8"/>
  <c r="P45" i="8"/>
  <c r="T45" i="8" s="1"/>
  <c r="Q45" i="8"/>
  <c r="R45" i="8"/>
  <c r="L46" i="8"/>
  <c r="M46" i="8"/>
  <c r="N46" i="8"/>
  <c r="P46" i="8"/>
  <c r="T46" i="8" s="1"/>
  <c r="Q46" i="8"/>
  <c r="R46" i="8"/>
  <c r="K47" i="8"/>
  <c r="L47" i="8"/>
  <c r="M47" i="8"/>
  <c r="N47" i="8"/>
  <c r="P47" i="8"/>
  <c r="T47" i="8" s="1"/>
  <c r="Q47" i="8"/>
  <c r="K48" i="8"/>
  <c r="L48" i="8"/>
  <c r="M48" i="8"/>
  <c r="N48" i="8"/>
  <c r="P48" i="8"/>
  <c r="T48" i="8" s="1"/>
  <c r="Q48" i="8"/>
  <c r="R48" i="8"/>
  <c r="K49" i="8"/>
  <c r="L49" i="8"/>
  <c r="M49" i="8"/>
  <c r="N49" i="8"/>
  <c r="P49" i="8"/>
  <c r="T49" i="8" s="1"/>
  <c r="Q49" i="8"/>
  <c r="K50" i="8"/>
  <c r="L50" i="8"/>
  <c r="M50" i="8"/>
  <c r="P50" i="8"/>
  <c r="T50" i="8" s="1"/>
  <c r="Q50" i="8"/>
  <c r="R50" i="8"/>
  <c r="K51" i="8"/>
  <c r="L51" i="8"/>
  <c r="M51" i="8"/>
  <c r="N51" i="8"/>
  <c r="P51" i="8"/>
  <c r="T51" i="8" s="1"/>
  <c r="Q51" i="8"/>
  <c r="R51" i="8"/>
  <c r="K52" i="8"/>
  <c r="L52" i="8"/>
  <c r="M52" i="8"/>
  <c r="N52" i="8"/>
  <c r="P52" i="8"/>
  <c r="T52" i="8" s="1"/>
  <c r="Q52" i="8"/>
  <c r="R52" i="8"/>
  <c r="K53" i="8"/>
  <c r="L53" i="8"/>
  <c r="M53" i="8"/>
  <c r="N53" i="8"/>
  <c r="P53" i="8"/>
  <c r="T53" i="8" s="1"/>
  <c r="Q53" i="8"/>
  <c r="R53" i="8"/>
  <c r="K54" i="8"/>
  <c r="L54" i="8"/>
  <c r="M54" i="8"/>
  <c r="N54" i="8"/>
  <c r="P54" i="8"/>
  <c r="T54" i="8" s="1"/>
  <c r="Q54" i="8"/>
  <c r="K55" i="8"/>
  <c r="L55" i="8"/>
  <c r="M55" i="8"/>
  <c r="N55" i="8"/>
  <c r="P55" i="8"/>
  <c r="T55" i="8" s="1"/>
  <c r="Q55" i="8"/>
  <c r="R55" i="8"/>
  <c r="K56" i="8"/>
  <c r="L56" i="8"/>
  <c r="M56" i="8"/>
  <c r="N56" i="8"/>
  <c r="P56" i="8"/>
  <c r="T56" i="8" s="1"/>
  <c r="Q56" i="8"/>
  <c r="R56" i="8"/>
  <c r="L57" i="8"/>
  <c r="M57" i="8"/>
  <c r="N57" i="8"/>
  <c r="P57" i="8"/>
  <c r="T57" i="8" s="1"/>
  <c r="Q57" i="8"/>
  <c r="R57" i="8"/>
  <c r="K58" i="8"/>
  <c r="L58" i="8"/>
  <c r="N58" i="8"/>
  <c r="P58" i="8"/>
  <c r="T58" i="8" s="1"/>
  <c r="Q58" i="8"/>
  <c r="K59" i="8"/>
  <c r="L59" i="8"/>
  <c r="M59" i="8"/>
  <c r="N59" i="8"/>
  <c r="P59" i="8"/>
  <c r="T59" i="8" s="1"/>
  <c r="Q59" i="8"/>
  <c r="R59" i="8"/>
  <c r="K60" i="8"/>
  <c r="L60" i="8"/>
  <c r="M60" i="8"/>
  <c r="N60" i="8"/>
  <c r="P60" i="8"/>
  <c r="T60" i="8" s="1"/>
  <c r="Q60" i="8"/>
  <c r="K61" i="8"/>
  <c r="L61" i="8"/>
  <c r="M61" i="8"/>
  <c r="N61" i="8"/>
  <c r="P61" i="8"/>
  <c r="T61" i="8" s="1"/>
  <c r="Q61" i="8"/>
  <c r="R61" i="8"/>
  <c r="K62" i="8"/>
  <c r="L62" i="8"/>
  <c r="M62" i="8"/>
  <c r="N62" i="8"/>
  <c r="P62" i="8"/>
  <c r="T62" i="8" s="1"/>
  <c r="Q62" i="8"/>
  <c r="R62" i="8"/>
  <c r="K63" i="8"/>
  <c r="L63" i="8"/>
  <c r="M63" i="8"/>
  <c r="N63" i="8"/>
  <c r="P63" i="8"/>
  <c r="T63" i="8" s="1"/>
  <c r="Q63" i="8"/>
  <c r="R63" i="8"/>
  <c r="K64" i="8"/>
  <c r="L64" i="8"/>
  <c r="M64" i="8"/>
  <c r="N64" i="8"/>
  <c r="P64" i="8"/>
  <c r="T64" i="8" s="1"/>
  <c r="Q64" i="8"/>
  <c r="R64" i="8"/>
  <c r="K65" i="8"/>
  <c r="L65" i="8"/>
  <c r="M65" i="8"/>
  <c r="N65" i="8"/>
  <c r="P65" i="8"/>
  <c r="T65" i="8" s="1"/>
  <c r="Q65" i="8"/>
  <c r="R65" i="8"/>
  <c r="K66" i="8"/>
  <c r="L66" i="8"/>
  <c r="M66" i="8"/>
  <c r="N66" i="8"/>
  <c r="P66" i="8"/>
  <c r="T66" i="8" s="1"/>
  <c r="Q66" i="8"/>
  <c r="R66" i="8"/>
  <c r="K67" i="8"/>
  <c r="L67" i="8"/>
  <c r="M67" i="8"/>
  <c r="N67" i="8"/>
  <c r="P67" i="8"/>
  <c r="T67" i="8" s="1"/>
  <c r="Q67" i="8"/>
  <c r="R67" i="8"/>
  <c r="K68" i="8"/>
  <c r="L68" i="8"/>
  <c r="M68" i="8"/>
  <c r="N68" i="8"/>
  <c r="P68" i="8"/>
  <c r="T68" i="8" s="1"/>
  <c r="Q68" i="8"/>
  <c r="R68" i="8"/>
  <c r="K69" i="8"/>
  <c r="L69" i="8"/>
  <c r="M69" i="8"/>
  <c r="N69" i="8"/>
  <c r="P69" i="8"/>
  <c r="T69" i="8" s="1"/>
  <c r="Q69" i="8"/>
  <c r="R69" i="8"/>
  <c r="K70" i="8"/>
  <c r="L70" i="8"/>
  <c r="M70" i="8"/>
  <c r="N70" i="8"/>
  <c r="P70" i="8"/>
  <c r="T70" i="8" s="1"/>
  <c r="Q70" i="8"/>
  <c r="R70" i="8"/>
  <c r="K71" i="8"/>
  <c r="L71" i="8"/>
  <c r="M71" i="8"/>
  <c r="N71" i="8"/>
  <c r="P71" i="8"/>
  <c r="T71" i="8" s="1"/>
  <c r="Q71" i="8"/>
  <c r="K72" i="8"/>
  <c r="L72" i="8"/>
  <c r="M72" i="8"/>
  <c r="N72" i="8"/>
  <c r="P72" i="8"/>
  <c r="T72" i="8" s="1"/>
  <c r="Q72" i="8"/>
  <c r="K73" i="8"/>
  <c r="L73" i="8"/>
  <c r="M73" i="8"/>
  <c r="N73" i="8"/>
  <c r="P73" i="8"/>
  <c r="T73" i="8" s="1"/>
  <c r="Q73" i="8"/>
  <c r="K74" i="8"/>
  <c r="L74" i="8"/>
  <c r="M74" i="8"/>
  <c r="N74" i="8"/>
  <c r="P74" i="8"/>
  <c r="T74" i="8" s="1"/>
  <c r="Q74" i="8"/>
  <c r="R74" i="8"/>
  <c r="K75" i="8"/>
  <c r="L75" i="8"/>
  <c r="M75" i="8"/>
  <c r="N75" i="8"/>
  <c r="P75" i="8"/>
  <c r="T75" i="8" s="1"/>
  <c r="Q75" i="8"/>
  <c r="R75" i="8"/>
  <c r="K76" i="8"/>
  <c r="L76" i="8"/>
  <c r="M76" i="8"/>
  <c r="N76" i="8"/>
  <c r="P76" i="8"/>
  <c r="T76" i="8" s="1"/>
  <c r="Q76" i="8"/>
  <c r="R76" i="8"/>
  <c r="K77" i="8"/>
  <c r="L77" i="8"/>
  <c r="M77" i="8"/>
  <c r="N77" i="8"/>
  <c r="P77" i="8"/>
  <c r="T77" i="8" s="1"/>
  <c r="Q77" i="8"/>
  <c r="R77" i="8"/>
  <c r="K78" i="8"/>
  <c r="L78" i="8"/>
  <c r="M78" i="8"/>
  <c r="N78" i="8"/>
  <c r="P78" i="8"/>
  <c r="T78" i="8" s="1"/>
  <c r="Q78" i="8"/>
  <c r="R78" i="8"/>
  <c r="K79" i="8"/>
  <c r="L79" i="8"/>
  <c r="M79" i="8"/>
  <c r="N79" i="8"/>
  <c r="P79" i="8"/>
  <c r="T79" i="8" s="1"/>
  <c r="Q79" i="8"/>
  <c r="R79" i="8"/>
  <c r="K80" i="8"/>
  <c r="L80" i="8"/>
  <c r="M80" i="8"/>
  <c r="N80" i="8"/>
  <c r="P80" i="8"/>
  <c r="T80" i="8" s="1"/>
  <c r="Q80" i="8"/>
  <c r="R80" i="8"/>
  <c r="K81" i="8"/>
  <c r="L81" i="8"/>
  <c r="M81" i="8"/>
  <c r="N81" i="8"/>
  <c r="P81" i="8"/>
  <c r="T81" i="8" s="1"/>
  <c r="Q81" i="8"/>
  <c r="K82" i="8"/>
  <c r="L82" i="8"/>
  <c r="M82" i="8"/>
  <c r="N82" i="8"/>
  <c r="P82" i="8"/>
  <c r="T82" i="8" s="1"/>
  <c r="Q82" i="8"/>
  <c r="R82" i="8"/>
  <c r="K83" i="8"/>
  <c r="L83" i="8"/>
  <c r="M83" i="8"/>
  <c r="N83" i="8"/>
  <c r="P83" i="8"/>
  <c r="T83" i="8" s="1"/>
  <c r="Q83" i="8"/>
  <c r="R83" i="8"/>
  <c r="K84" i="8"/>
  <c r="L84" i="8"/>
  <c r="M84" i="8"/>
  <c r="N84" i="8"/>
  <c r="P84" i="8"/>
  <c r="T84" i="8" s="1"/>
  <c r="Q84" i="8"/>
  <c r="R84" i="8"/>
  <c r="K85" i="8"/>
  <c r="L85" i="8"/>
  <c r="M85" i="8"/>
  <c r="N85" i="8"/>
  <c r="P85" i="8"/>
  <c r="T85" i="8" s="1"/>
  <c r="Q85" i="8"/>
  <c r="R85" i="8"/>
  <c r="K86" i="8"/>
  <c r="L86" i="8"/>
  <c r="M86" i="8"/>
  <c r="N86" i="8"/>
  <c r="P86" i="8"/>
  <c r="T86" i="8" s="1"/>
  <c r="Q86" i="8"/>
  <c r="R86" i="8"/>
  <c r="K87" i="8"/>
  <c r="L87" i="8"/>
  <c r="M87" i="8"/>
  <c r="N87" i="8"/>
  <c r="P87" i="8"/>
  <c r="T87" i="8" s="1"/>
  <c r="Q87" i="8"/>
  <c r="R87" i="8"/>
  <c r="K88" i="8"/>
  <c r="L88" i="8"/>
  <c r="M88" i="8"/>
  <c r="N88" i="8"/>
  <c r="P88" i="8"/>
  <c r="T88" i="8" s="1"/>
  <c r="Q88" i="8"/>
  <c r="K89" i="8"/>
  <c r="L89" i="8"/>
  <c r="M89" i="8"/>
  <c r="N89" i="8"/>
  <c r="P89" i="8"/>
  <c r="T89" i="8" s="1"/>
  <c r="Q89" i="8"/>
  <c r="K90" i="8"/>
  <c r="L90" i="8"/>
  <c r="M90" i="8"/>
  <c r="N90" i="8"/>
  <c r="P90" i="8"/>
  <c r="T90" i="8" s="1"/>
  <c r="Q90" i="8"/>
  <c r="K91" i="8"/>
  <c r="L91" i="8"/>
  <c r="M91" i="8"/>
  <c r="N91" i="8"/>
  <c r="P91" i="8"/>
  <c r="T91" i="8" s="1"/>
  <c r="Q91" i="8"/>
  <c r="K92" i="8"/>
  <c r="L92" i="8"/>
  <c r="M92" i="8"/>
  <c r="N92" i="8"/>
  <c r="P92" i="8"/>
  <c r="T92" i="8" s="1"/>
  <c r="Q92" i="8"/>
  <c r="K93" i="8"/>
  <c r="L93" i="8"/>
  <c r="M93" i="8"/>
  <c r="N93" i="8"/>
  <c r="P93" i="8"/>
  <c r="T93" i="8" s="1"/>
  <c r="Q93" i="8"/>
  <c r="N94" i="8"/>
  <c r="P94" i="8"/>
  <c r="T94" i="8" s="1"/>
  <c r="Q94" i="8"/>
  <c r="N95" i="8"/>
  <c r="P95" i="8"/>
  <c r="T95" i="8" s="1"/>
  <c r="Q95" i="8"/>
  <c r="N96" i="8"/>
  <c r="P96" i="8"/>
  <c r="Q96" i="8"/>
  <c r="R96" i="8"/>
  <c r="N97" i="8"/>
  <c r="P97" i="8"/>
  <c r="Q97" i="8"/>
  <c r="R97" i="8"/>
  <c r="N98" i="8"/>
  <c r="P98" i="8"/>
  <c r="Q98" i="8"/>
  <c r="R98" i="8"/>
  <c r="N99" i="8"/>
  <c r="P99" i="8"/>
  <c r="Q99" i="8"/>
  <c r="R99" i="8"/>
  <c r="N100" i="8"/>
  <c r="P100" i="8"/>
  <c r="Q100" i="8"/>
  <c r="R100" i="8"/>
  <c r="N101" i="8"/>
  <c r="P101" i="8"/>
  <c r="Q101" i="8"/>
  <c r="R101" i="8"/>
  <c r="N102" i="8"/>
  <c r="P102" i="8"/>
  <c r="Q102" i="8"/>
  <c r="R102" i="8"/>
  <c r="N103" i="8"/>
  <c r="P103" i="8"/>
  <c r="Q103" i="8"/>
  <c r="R103" i="8"/>
  <c r="N104" i="8"/>
  <c r="P104" i="8"/>
  <c r="Q104" i="8"/>
  <c r="R104" i="8"/>
  <c r="N105" i="8"/>
  <c r="P105" i="8"/>
  <c r="Q105" i="8"/>
  <c r="R105" i="8"/>
  <c r="N106" i="8"/>
  <c r="P106" i="8"/>
  <c r="Q106" i="8"/>
  <c r="R106" i="8"/>
  <c r="N107" i="8"/>
  <c r="P107" i="8"/>
  <c r="Q107" i="8"/>
  <c r="R107" i="8"/>
  <c r="N108" i="8"/>
  <c r="P108" i="8"/>
  <c r="Q108" i="8"/>
  <c r="R108" i="8"/>
  <c r="N109" i="8"/>
  <c r="P109" i="8"/>
  <c r="Q109" i="8"/>
  <c r="R109" i="8"/>
  <c r="K4" i="9"/>
  <c r="L4" i="9"/>
  <c r="N4" i="9"/>
  <c r="P4" i="9"/>
  <c r="T4" i="9" s="1"/>
  <c r="Q4" i="9"/>
  <c r="K5" i="9"/>
  <c r="L5" i="9"/>
  <c r="N5" i="9"/>
  <c r="P5" i="9"/>
  <c r="T5" i="9" s="1"/>
  <c r="Q5" i="9"/>
  <c r="R5" i="9"/>
  <c r="K6" i="9"/>
  <c r="L6" i="9"/>
  <c r="N6" i="9"/>
  <c r="P6" i="9"/>
  <c r="T6" i="9" s="1"/>
  <c r="Q6" i="9"/>
  <c r="K7" i="9"/>
  <c r="L7" i="9"/>
  <c r="M7" i="9"/>
  <c r="N7" i="9"/>
  <c r="P7" i="9"/>
  <c r="T7" i="9" s="1"/>
  <c r="Q7" i="9"/>
  <c r="R7" i="9"/>
  <c r="K8" i="9"/>
  <c r="L8" i="9"/>
  <c r="N8" i="9"/>
  <c r="P8" i="9"/>
  <c r="T8" i="9" s="1"/>
  <c r="Q8" i="9"/>
  <c r="R8" i="9"/>
  <c r="K9" i="9"/>
  <c r="L9" i="9"/>
  <c r="N9" i="9"/>
  <c r="P9" i="9"/>
  <c r="T9" i="9" s="1"/>
  <c r="Q9" i="9"/>
  <c r="R9" i="9"/>
  <c r="K10" i="9"/>
  <c r="L10" i="9"/>
  <c r="N10" i="9"/>
  <c r="P10" i="9"/>
  <c r="T10" i="9" s="1"/>
  <c r="Q10" i="9"/>
  <c r="R10" i="9"/>
  <c r="K11" i="9"/>
  <c r="L11" i="9"/>
  <c r="M11" i="9"/>
  <c r="N11" i="9"/>
  <c r="P11" i="9"/>
  <c r="T11" i="9" s="1"/>
  <c r="Q11" i="9"/>
  <c r="R11" i="9"/>
  <c r="K12" i="9"/>
  <c r="L12" i="9"/>
  <c r="M12" i="9"/>
  <c r="N12" i="9"/>
  <c r="P12" i="9"/>
  <c r="T12" i="9" s="1"/>
  <c r="Q12" i="9"/>
  <c r="R12" i="9"/>
  <c r="K13" i="9"/>
  <c r="L13" i="9"/>
  <c r="N13" i="9"/>
  <c r="P13" i="9"/>
  <c r="T13" i="9" s="1"/>
  <c r="Q13" i="9"/>
  <c r="R13" i="9"/>
  <c r="K14" i="9"/>
  <c r="L14" i="9"/>
  <c r="N14" i="9"/>
  <c r="P14" i="9"/>
  <c r="T14" i="9" s="1"/>
  <c r="Q14" i="9"/>
  <c r="R14" i="9"/>
  <c r="K15" i="9"/>
  <c r="L15" i="9"/>
  <c r="N15" i="9"/>
  <c r="P15" i="9"/>
  <c r="T15" i="9" s="1"/>
  <c r="Q15" i="9"/>
  <c r="R15" i="9"/>
  <c r="K16" i="9"/>
  <c r="L16" i="9"/>
  <c r="N16" i="9"/>
  <c r="P16" i="9"/>
  <c r="T16" i="9" s="1"/>
  <c r="Q16" i="9"/>
  <c r="R16" i="9"/>
  <c r="K17" i="9"/>
  <c r="L17" i="9"/>
  <c r="N17" i="9"/>
  <c r="P17" i="9"/>
  <c r="T17" i="9" s="1"/>
  <c r="Q17" i="9"/>
  <c r="K18" i="9"/>
  <c r="L18" i="9"/>
  <c r="M18" i="9"/>
  <c r="N18" i="9"/>
  <c r="P18" i="9"/>
  <c r="T18" i="9" s="1"/>
  <c r="Q18" i="9"/>
  <c r="R18" i="9"/>
  <c r="K19" i="9"/>
  <c r="L19" i="9"/>
  <c r="N19" i="9"/>
  <c r="P19" i="9"/>
  <c r="T19" i="9" s="1"/>
  <c r="Q19" i="9"/>
  <c r="R19" i="9"/>
  <c r="K20" i="9"/>
  <c r="L20" i="9"/>
  <c r="N20" i="9"/>
  <c r="P20" i="9"/>
  <c r="T20" i="9" s="1"/>
  <c r="Q20" i="9"/>
  <c r="R20" i="9"/>
  <c r="K21" i="9"/>
  <c r="L21" i="9"/>
  <c r="N21" i="9"/>
  <c r="P21" i="9"/>
  <c r="T21" i="9" s="1"/>
  <c r="Q21" i="9"/>
  <c r="R21" i="9"/>
  <c r="K22" i="9"/>
  <c r="L22" i="9"/>
  <c r="N22" i="9"/>
  <c r="P22" i="9"/>
  <c r="T22" i="9" s="1"/>
  <c r="Q22" i="9"/>
  <c r="R22" i="9"/>
  <c r="K23" i="9"/>
  <c r="L23" i="9"/>
  <c r="M23" i="9"/>
  <c r="N23" i="9"/>
  <c r="P23" i="9"/>
  <c r="T23" i="9" s="1"/>
  <c r="Q23" i="9"/>
  <c r="R23" i="9"/>
  <c r="K24" i="9"/>
  <c r="L24" i="9"/>
  <c r="M24" i="9"/>
  <c r="N24" i="9"/>
  <c r="P24" i="9"/>
  <c r="T24" i="9" s="1"/>
  <c r="Q24" i="9"/>
  <c r="R24" i="9"/>
  <c r="K25" i="9"/>
  <c r="L25" i="9"/>
  <c r="N25" i="9"/>
  <c r="P25" i="9"/>
  <c r="T25" i="9" s="1"/>
  <c r="Q25" i="9"/>
  <c r="R25" i="9"/>
  <c r="K26" i="9"/>
  <c r="L26" i="9"/>
  <c r="N26" i="9"/>
  <c r="P26" i="9"/>
  <c r="T26" i="9" s="1"/>
  <c r="Q26" i="9"/>
  <c r="R26" i="9"/>
  <c r="K27" i="9"/>
  <c r="L27" i="9"/>
  <c r="N27" i="9"/>
  <c r="P27" i="9"/>
  <c r="T27" i="9" s="1"/>
  <c r="Q27" i="9"/>
  <c r="K28" i="9"/>
  <c r="L28" i="9"/>
  <c r="N28" i="9"/>
  <c r="P28" i="9"/>
  <c r="T28" i="9" s="1"/>
  <c r="Q28" i="9"/>
  <c r="R28" i="9"/>
  <c r="K29" i="9"/>
  <c r="L29" i="9"/>
  <c r="N29" i="9"/>
  <c r="P29" i="9"/>
  <c r="T29" i="9" s="1"/>
  <c r="Q29" i="9"/>
  <c r="R29" i="9"/>
  <c r="K30" i="9"/>
  <c r="L30" i="9"/>
  <c r="N30" i="9"/>
  <c r="P30" i="9"/>
  <c r="T30" i="9" s="1"/>
  <c r="Q30" i="9"/>
  <c r="R30" i="9"/>
  <c r="K31" i="9"/>
  <c r="L31" i="9"/>
  <c r="N31" i="9"/>
  <c r="P31" i="9"/>
  <c r="T31" i="9" s="1"/>
  <c r="Q31" i="9"/>
  <c r="K32" i="9"/>
  <c r="L32" i="9"/>
  <c r="N32" i="9"/>
  <c r="P32" i="9"/>
  <c r="T32" i="9" s="1"/>
  <c r="Q32" i="9"/>
  <c r="R32" i="9"/>
  <c r="K33" i="9"/>
  <c r="L33" i="9"/>
  <c r="N33" i="9"/>
  <c r="P33" i="9"/>
  <c r="T33" i="9" s="1"/>
  <c r="Q33" i="9"/>
  <c r="R33" i="9"/>
  <c r="K34" i="9"/>
  <c r="L34" i="9"/>
  <c r="M34" i="9"/>
  <c r="N34" i="9"/>
  <c r="P34" i="9"/>
  <c r="T34" i="9" s="1"/>
  <c r="Q34" i="9"/>
  <c r="R34" i="9"/>
  <c r="K35" i="9"/>
  <c r="L35" i="9"/>
  <c r="M35" i="9"/>
  <c r="N35" i="9"/>
  <c r="P35" i="9"/>
  <c r="T35" i="9" s="1"/>
  <c r="Q35" i="9"/>
  <c r="R35" i="9"/>
  <c r="K36" i="9"/>
  <c r="L36" i="9"/>
  <c r="N36" i="9"/>
  <c r="P36" i="9"/>
  <c r="T36" i="9" s="1"/>
  <c r="Q36" i="9"/>
  <c r="R36" i="9"/>
  <c r="K37" i="9"/>
  <c r="L37" i="9"/>
  <c r="N37" i="9"/>
  <c r="P37" i="9"/>
  <c r="T37" i="9" s="1"/>
  <c r="Q37" i="9"/>
  <c r="R37" i="9"/>
  <c r="K38" i="9"/>
  <c r="L38" i="9"/>
  <c r="N38" i="9"/>
  <c r="P38" i="9"/>
  <c r="T38" i="9" s="1"/>
  <c r="Q38" i="9"/>
  <c r="R38" i="9"/>
  <c r="K39" i="9"/>
  <c r="L39" i="9"/>
  <c r="N39" i="9"/>
  <c r="P39" i="9"/>
  <c r="T39" i="9" s="1"/>
  <c r="Q39" i="9"/>
  <c r="K40" i="9"/>
  <c r="L40" i="9"/>
  <c r="N40" i="9"/>
  <c r="P40" i="9"/>
  <c r="T40" i="9" s="1"/>
  <c r="Q40" i="9"/>
  <c r="R40" i="9"/>
  <c r="K41" i="9"/>
  <c r="L41" i="9"/>
  <c r="N41" i="9"/>
  <c r="P41" i="9"/>
  <c r="T41" i="9" s="1"/>
  <c r="Q41" i="9"/>
  <c r="R41" i="9"/>
  <c r="K42" i="9"/>
  <c r="L42" i="9"/>
  <c r="N42" i="9"/>
  <c r="P42" i="9"/>
  <c r="T42" i="9" s="1"/>
  <c r="Q42" i="9"/>
  <c r="R42" i="9"/>
  <c r="K43" i="9"/>
  <c r="L43" i="9"/>
  <c r="N43" i="9"/>
  <c r="P43" i="9"/>
  <c r="T43" i="9" s="1"/>
  <c r="Q43" i="9"/>
  <c r="R43" i="9"/>
  <c r="K44" i="9"/>
  <c r="L44" i="9"/>
  <c r="N44" i="9"/>
  <c r="P44" i="9"/>
  <c r="T44" i="9" s="1"/>
  <c r="Q44" i="9"/>
  <c r="R44" i="9"/>
  <c r="K45" i="9"/>
  <c r="L45" i="9"/>
  <c r="M45" i="9"/>
  <c r="N45" i="9"/>
  <c r="P45" i="9"/>
  <c r="T45" i="9" s="1"/>
  <c r="Q45" i="9"/>
  <c r="R45" i="9"/>
  <c r="K46" i="9"/>
  <c r="L46" i="9"/>
  <c r="M46" i="9"/>
  <c r="N46" i="9"/>
  <c r="P46" i="9"/>
  <c r="T46" i="9" s="1"/>
  <c r="Q46" i="9"/>
  <c r="R46" i="9"/>
  <c r="K47" i="9"/>
  <c r="L47" i="9"/>
  <c r="N47" i="9"/>
  <c r="P47" i="9"/>
  <c r="T47" i="9" s="1"/>
  <c r="Q47" i="9"/>
  <c r="R47" i="9"/>
  <c r="K48" i="9"/>
  <c r="L48" i="9"/>
  <c r="N48" i="9"/>
  <c r="P48" i="9"/>
  <c r="T48" i="9" s="1"/>
  <c r="Q48" i="9"/>
  <c r="R48" i="9"/>
  <c r="K49" i="9"/>
  <c r="L49" i="9"/>
  <c r="N49" i="9"/>
  <c r="P49" i="9"/>
  <c r="T49" i="9" s="1"/>
  <c r="Q49" i="9"/>
  <c r="K50" i="9"/>
  <c r="L50" i="9"/>
  <c r="N50" i="9"/>
  <c r="P50" i="9"/>
  <c r="T50" i="9" s="1"/>
  <c r="Q50" i="9"/>
  <c r="R50" i="9"/>
  <c r="K51" i="9"/>
  <c r="L51" i="9"/>
  <c r="N51" i="9"/>
  <c r="P51" i="9"/>
  <c r="T51" i="9" s="1"/>
  <c r="Q51" i="9"/>
  <c r="R51" i="9"/>
  <c r="K52" i="9"/>
  <c r="L52" i="9"/>
  <c r="N52" i="9"/>
  <c r="P52" i="9"/>
  <c r="T52" i="9" s="1"/>
  <c r="Q52" i="9"/>
  <c r="R52" i="9"/>
  <c r="K53" i="9"/>
  <c r="L53" i="9"/>
  <c r="N53" i="9"/>
  <c r="P53" i="9"/>
  <c r="T53" i="9" s="1"/>
  <c r="Q53" i="9"/>
  <c r="R53" i="9"/>
  <c r="K54" i="9"/>
  <c r="L54" i="9"/>
  <c r="N54" i="9"/>
  <c r="P54" i="9"/>
  <c r="T54" i="9" s="1"/>
  <c r="Q54" i="9"/>
  <c r="K55" i="9"/>
  <c r="L55" i="9"/>
  <c r="N55" i="9"/>
  <c r="P55" i="9"/>
  <c r="T55" i="9" s="1"/>
  <c r="Q55" i="9"/>
  <c r="R55" i="9"/>
  <c r="K56" i="9"/>
  <c r="L56" i="9"/>
  <c r="M56" i="9"/>
  <c r="N56" i="9"/>
  <c r="P56" i="9"/>
  <c r="T56" i="9" s="1"/>
  <c r="Q56" i="9"/>
  <c r="R56" i="9"/>
  <c r="K57" i="9"/>
  <c r="L57" i="9"/>
  <c r="M57" i="9"/>
  <c r="N57" i="9"/>
  <c r="P57" i="9"/>
  <c r="T57" i="9" s="1"/>
  <c r="Q57" i="9"/>
  <c r="R57" i="9"/>
  <c r="K58" i="9"/>
  <c r="L58" i="9"/>
  <c r="M58" i="9"/>
  <c r="N58" i="9"/>
  <c r="P58" i="9"/>
  <c r="T58" i="9" s="1"/>
  <c r="Q58" i="9"/>
  <c r="R58" i="9"/>
  <c r="K59" i="9"/>
  <c r="L59" i="9"/>
  <c r="N59" i="9"/>
  <c r="P59" i="9"/>
  <c r="T59" i="9" s="1"/>
  <c r="Q59" i="9"/>
  <c r="R59" i="9"/>
  <c r="K60" i="9"/>
  <c r="L60" i="9"/>
  <c r="N60" i="9"/>
  <c r="P60" i="9"/>
  <c r="T60" i="9" s="1"/>
  <c r="Q60" i="9"/>
  <c r="K61" i="9"/>
  <c r="L61" i="9"/>
  <c r="N61" i="9"/>
  <c r="P61" i="9"/>
  <c r="T61" i="9" s="1"/>
  <c r="Q61" i="9"/>
  <c r="R61" i="9"/>
  <c r="K62" i="9"/>
  <c r="L62" i="9"/>
  <c r="N62" i="9"/>
  <c r="P62" i="9"/>
  <c r="T62" i="9" s="1"/>
  <c r="Q62" i="9"/>
  <c r="R62" i="9"/>
  <c r="K63" i="9"/>
  <c r="L63" i="9"/>
  <c r="N63" i="9"/>
  <c r="P63" i="9"/>
  <c r="T63" i="9" s="1"/>
  <c r="Q63" i="9"/>
  <c r="K64" i="9"/>
  <c r="L64" i="9"/>
  <c r="N64" i="9"/>
  <c r="P64" i="9"/>
  <c r="T64" i="9" s="1"/>
  <c r="Q64" i="9"/>
  <c r="R64" i="9"/>
  <c r="K65" i="9"/>
  <c r="L65" i="9"/>
  <c r="N65" i="9"/>
  <c r="P65" i="9"/>
  <c r="T65" i="9" s="1"/>
  <c r="Q65" i="9"/>
  <c r="R65" i="9"/>
  <c r="K66" i="9"/>
  <c r="L66" i="9"/>
  <c r="N66" i="9"/>
  <c r="P66" i="9"/>
  <c r="T66" i="9" s="1"/>
  <c r="Q66" i="9"/>
  <c r="R66" i="9"/>
  <c r="K67" i="9"/>
  <c r="L67" i="9"/>
  <c r="N67" i="9"/>
  <c r="P67" i="9"/>
  <c r="T67" i="9" s="1"/>
  <c r="Q67" i="9"/>
  <c r="R67" i="9"/>
  <c r="K68" i="9"/>
  <c r="L68" i="9"/>
  <c r="N68" i="9"/>
  <c r="P68" i="9"/>
  <c r="T68" i="9" s="1"/>
  <c r="Q68" i="9"/>
  <c r="R68" i="9"/>
  <c r="K69" i="9"/>
  <c r="L69" i="9"/>
  <c r="M69" i="9"/>
  <c r="N69" i="9"/>
  <c r="P69" i="9"/>
  <c r="T69" i="9" s="1"/>
  <c r="Q69" i="9"/>
  <c r="R69" i="9"/>
  <c r="K70" i="9"/>
  <c r="L70" i="9"/>
  <c r="M70" i="9"/>
  <c r="N70" i="9"/>
  <c r="P70" i="9"/>
  <c r="T70" i="9" s="1"/>
  <c r="Q70" i="9"/>
  <c r="R70" i="9"/>
  <c r="K71" i="9"/>
  <c r="L71" i="9"/>
  <c r="N71" i="9"/>
  <c r="P71" i="9"/>
  <c r="T71" i="9" s="1"/>
  <c r="Q71" i="9"/>
  <c r="R71" i="9"/>
  <c r="K72" i="9"/>
  <c r="L72" i="9"/>
  <c r="N72" i="9"/>
  <c r="P72" i="9"/>
  <c r="T72" i="9" s="1"/>
  <c r="Q72" i="9"/>
  <c r="K73" i="9"/>
  <c r="L73" i="9"/>
  <c r="N73" i="9"/>
  <c r="P73" i="9"/>
  <c r="T73" i="9" s="1"/>
  <c r="Q73" i="9"/>
  <c r="R73" i="9"/>
  <c r="K74" i="9"/>
  <c r="L74" i="9"/>
  <c r="N74" i="9"/>
  <c r="P74" i="9"/>
  <c r="T74" i="9" s="1"/>
  <c r="Q74" i="9"/>
  <c r="K75" i="9"/>
  <c r="L75" i="9"/>
  <c r="N75" i="9"/>
  <c r="P75" i="9"/>
  <c r="T75" i="9" s="1"/>
  <c r="Q75" i="9"/>
  <c r="R75" i="9"/>
  <c r="K76" i="9"/>
  <c r="L76" i="9"/>
  <c r="N76" i="9"/>
  <c r="P76" i="9"/>
  <c r="T76" i="9" s="1"/>
  <c r="Q76" i="9"/>
  <c r="R76" i="9"/>
  <c r="K77" i="9"/>
  <c r="L77" i="9"/>
  <c r="N77" i="9"/>
  <c r="P77" i="9"/>
  <c r="T77" i="9" s="1"/>
  <c r="Q77" i="9"/>
  <c r="R77" i="9"/>
  <c r="K78" i="9"/>
  <c r="L78" i="9"/>
  <c r="N78" i="9"/>
  <c r="P78" i="9"/>
  <c r="T78" i="9" s="1"/>
  <c r="Q78" i="9"/>
  <c r="K79" i="9"/>
  <c r="L79" i="9"/>
  <c r="N79" i="9"/>
  <c r="P79" i="9"/>
  <c r="T79" i="9" s="1"/>
  <c r="Q79" i="9"/>
  <c r="R79" i="9"/>
  <c r="K80" i="9"/>
  <c r="L80" i="9"/>
  <c r="N80" i="9"/>
  <c r="P80" i="9"/>
  <c r="T80" i="9" s="1"/>
  <c r="Q80" i="9"/>
  <c r="R80" i="9"/>
  <c r="K81" i="9"/>
  <c r="L81" i="9"/>
  <c r="N81" i="9"/>
  <c r="P81" i="9"/>
  <c r="T81" i="9" s="1"/>
  <c r="Q81" i="9"/>
  <c r="R81" i="9"/>
  <c r="K82" i="9"/>
  <c r="L82" i="9"/>
  <c r="M82" i="9"/>
  <c r="N82" i="9"/>
  <c r="P82" i="9"/>
  <c r="T82" i="9" s="1"/>
  <c r="Q82" i="9"/>
  <c r="R82" i="9"/>
  <c r="K83" i="9"/>
  <c r="L83" i="9"/>
  <c r="M83" i="9"/>
  <c r="N83" i="9"/>
  <c r="P83" i="9"/>
  <c r="T83" i="9" s="1"/>
  <c r="Q83" i="9"/>
  <c r="R83" i="9"/>
  <c r="K84" i="9"/>
  <c r="L84" i="9"/>
  <c r="N84" i="9"/>
  <c r="P84" i="9"/>
  <c r="T84" i="9" s="1"/>
  <c r="Q84" i="9"/>
  <c r="K85" i="9"/>
  <c r="L85" i="9"/>
  <c r="N85" i="9"/>
  <c r="P85" i="9"/>
  <c r="T85" i="9" s="1"/>
  <c r="Q85" i="9"/>
  <c r="K86" i="9"/>
  <c r="L86" i="9"/>
  <c r="N86" i="9"/>
  <c r="P86" i="9"/>
  <c r="T86" i="9" s="1"/>
  <c r="Q86" i="9"/>
  <c r="R86" i="9"/>
  <c r="K87" i="9"/>
  <c r="L87" i="9"/>
  <c r="N87" i="9"/>
  <c r="P87" i="9"/>
  <c r="T87" i="9" s="1"/>
  <c r="Q87" i="9"/>
  <c r="R87" i="9"/>
  <c r="K88" i="9"/>
  <c r="L88" i="9"/>
  <c r="N88" i="9"/>
  <c r="P88" i="9"/>
  <c r="T88" i="9" s="1"/>
  <c r="Q88" i="9"/>
  <c r="R88" i="9"/>
  <c r="K89" i="9"/>
  <c r="L89" i="9"/>
  <c r="N89" i="9"/>
  <c r="P89" i="9"/>
  <c r="T89" i="9" s="1"/>
  <c r="Q89" i="9"/>
  <c r="R89" i="9"/>
  <c r="K90" i="9"/>
  <c r="L90" i="9"/>
  <c r="N90" i="9"/>
  <c r="P90" i="9"/>
  <c r="T90" i="9" s="1"/>
  <c r="Q90" i="9"/>
  <c r="R90" i="9"/>
  <c r="K91" i="9"/>
  <c r="L91" i="9"/>
  <c r="N91" i="9"/>
  <c r="P91" i="9"/>
  <c r="T91" i="9" s="1"/>
  <c r="Q91" i="9"/>
  <c r="K92" i="9"/>
  <c r="L92" i="9"/>
  <c r="N92" i="9"/>
  <c r="P92" i="9"/>
  <c r="T92" i="9" s="1"/>
  <c r="Q92" i="9"/>
  <c r="R92" i="9"/>
  <c r="N100" i="9"/>
  <c r="P100" i="9"/>
  <c r="Q100" i="9"/>
  <c r="N101" i="9"/>
  <c r="P101" i="9"/>
  <c r="Q101" i="9"/>
  <c r="R101" i="9"/>
  <c r="N102" i="9"/>
  <c r="P102" i="9"/>
  <c r="Q102" i="9"/>
  <c r="R102" i="9"/>
  <c r="N103" i="9"/>
  <c r="P103" i="9"/>
  <c r="Q103" i="9"/>
  <c r="R103" i="9"/>
  <c r="N104" i="9"/>
  <c r="P104" i="9"/>
  <c r="Q104" i="9"/>
  <c r="R104" i="9"/>
  <c r="N105" i="9"/>
  <c r="P105" i="9"/>
  <c r="Q105" i="9"/>
  <c r="R105" i="9"/>
  <c r="N106" i="9"/>
  <c r="P106" i="9"/>
  <c r="Q106" i="9"/>
  <c r="R106" i="9"/>
  <c r="N107" i="9"/>
  <c r="P107" i="9"/>
  <c r="Q107" i="9"/>
  <c r="R107" i="9"/>
  <c r="N108" i="9"/>
  <c r="P108" i="9"/>
  <c r="Q108" i="9"/>
  <c r="R108" i="9"/>
  <c r="N109" i="9"/>
  <c r="P109" i="9"/>
  <c r="Q109" i="9"/>
  <c r="R109" i="9"/>
  <c r="N4" i="10"/>
  <c r="P4" i="10"/>
  <c r="T4" i="10" s="1"/>
  <c r="Q4" i="10"/>
  <c r="N5" i="10"/>
  <c r="P5" i="10"/>
  <c r="T5" i="10" s="1"/>
  <c r="Q5" i="10"/>
  <c r="N6" i="10"/>
  <c r="P6" i="10"/>
  <c r="T6" i="10" s="1"/>
  <c r="Q6" i="10"/>
  <c r="N7" i="10"/>
  <c r="P7" i="10"/>
  <c r="T7" i="10" s="1"/>
  <c r="Q7" i="10"/>
  <c r="N8" i="10"/>
  <c r="P8" i="10"/>
  <c r="T8" i="10" s="1"/>
  <c r="Q8" i="10"/>
  <c r="N9" i="10"/>
  <c r="P9" i="10"/>
  <c r="T9" i="10" s="1"/>
  <c r="Q9" i="10"/>
  <c r="N10" i="10"/>
  <c r="P10" i="10"/>
  <c r="T10" i="10" s="1"/>
  <c r="Q10" i="10"/>
  <c r="N11" i="10"/>
  <c r="P11" i="10"/>
  <c r="T11" i="10" s="1"/>
  <c r="Q11" i="10"/>
  <c r="N12" i="10"/>
  <c r="P12" i="10"/>
  <c r="T12" i="10" s="1"/>
  <c r="Q12" i="10"/>
  <c r="N13" i="10"/>
  <c r="P13" i="10"/>
  <c r="T13" i="10" s="1"/>
  <c r="Q13" i="10"/>
  <c r="N14" i="10"/>
  <c r="P14" i="10"/>
  <c r="T14" i="10" s="1"/>
  <c r="Q14" i="10"/>
  <c r="N15" i="10"/>
  <c r="P15" i="10"/>
  <c r="T15" i="10" s="1"/>
  <c r="Q15" i="10"/>
  <c r="N16" i="10"/>
  <c r="P16" i="10"/>
  <c r="T16" i="10" s="1"/>
  <c r="Q16" i="10"/>
  <c r="N17" i="10"/>
  <c r="P17" i="10"/>
  <c r="T17" i="10" s="1"/>
  <c r="Q17" i="10"/>
  <c r="N18" i="10"/>
  <c r="P18" i="10"/>
  <c r="T18" i="10" s="1"/>
  <c r="Q18" i="10"/>
  <c r="N19" i="10"/>
  <c r="P19" i="10"/>
  <c r="T19" i="10" s="1"/>
  <c r="Q19" i="10"/>
  <c r="N20" i="10"/>
  <c r="P20" i="10"/>
  <c r="T20" i="10" s="1"/>
  <c r="Q20" i="10"/>
  <c r="N21" i="10"/>
  <c r="P21" i="10"/>
  <c r="T21" i="10" s="1"/>
  <c r="Q21" i="10"/>
  <c r="N22" i="10"/>
  <c r="P22" i="10"/>
  <c r="T22" i="10" s="1"/>
  <c r="Q22" i="10"/>
  <c r="N23" i="10"/>
  <c r="P23" i="10"/>
  <c r="T23" i="10" s="1"/>
  <c r="Q23" i="10"/>
  <c r="N24" i="10"/>
  <c r="P24" i="10"/>
  <c r="T24" i="10" s="1"/>
  <c r="Q24" i="10"/>
  <c r="N25" i="10"/>
  <c r="P25" i="10"/>
  <c r="T25" i="10" s="1"/>
  <c r="Q25" i="10"/>
  <c r="N26" i="10"/>
  <c r="P26" i="10"/>
  <c r="T26" i="10" s="1"/>
  <c r="Q26" i="10"/>
  <c r="N27" i="10"/>
  <c r="P27" i="10"/>
  <c r="T27" i="10" s="1"/>
  <c r="Q27" i="10"/>
  <c r="N28" i="10"/>
  <c r="P28" i="10"/>
  <c r="T28" i="10" s="1"/>
  <c r="Q28" i="10"/>
  <c r="N29" i="10"/>
  <c r="P29" i="10"/>
  <c r="T29" i="10" s="1"/>
  <c r="Q29" i="10"/>
  <c r="N30" i="10"/>
  <c r="P30" i="10"/>
  <c r="T30" i="10" s="1"/>
  <c r="Q30" i="10"/>
  <c r="N31" i="10"/>
  <c r="P31" i="10"/>
  <c r="T31" i="10" s="1"/>
  <c r="Q31" i="10"/>
  <c r="N32" i="10"/>
  <c r="P32" i="10"/>
  <c r="T32" i="10" s="1"/>
  <c r="Q32" i="10"/>
  <c r="N33" i="10"/>
  <c r="P33" i="10"/>
  <c r="T33" i="10" s="1"/>
  <c r="Q33" i="10"/>
  <c r="N34" i="10"/>
  <c r="P34" i="10"/>
  <c r="T34" i="10" s="1"/>
  <c r="Q34" i="10"/>
  <c r="N35" i="10"/>
  <c r="P35" i="10"/>
  <c r="T35" i="10" s="1"/>
  <c r="Q35" i="10"/>
  <c r="N36" i="10"/>
  <c r="P36" i="10"/>
  <c r="T36" i="10" s="1"/>
  <c r="Q36" i="10"/>
  <c r="N37" i="10"/>
  <c r="P37" i="10"/>
  <c r="T37" i="10" s="1"/>
  <c r="Q37" i="10"/>
  <c r="N38" i="10"/>
  <c r="P38" i="10"/>
  <c r="T38" i="10" s="1"/>
  <c r="Q38" i="10"/>
  <c r="N39" i="10"/>
  <c r="P39" i="10"/>
  <c r="T39" i="10" s="1"/>
  <c r="Q39" i="10"/>
  <c r="N40" i="10"/>
  <c r="P40" i="10"/>
  <c r="T40" i="10" s="1"/>
  <c r="Q40" i="10"/>
  <c r="N41" i="10"/>
  <c r="P41" i="10"/>
  <c r="T41" i="10" s="1"/>
  <c r="Q41" i="10"/>
  <c r="N42" i="10"/>
  <c r="P42" i="10"/>
  <c r="T42" i="10" s="1"/>
  <c r="Q42" i="10"/>
  <c r="N43" i="10"/>
  <c r="P43" i="10"/>
  <c r="T43" i="10" s="1"/>
  <c r="Q43" i="10"/>
  <c r="N44" i="10"/>
  <c r="P44" i="10"/>
  <c r="T44" i="10" s="1"/>
  <c r="Q44" i="10"/>
  <c r="N45" i="10"/>
  <c r="P45" i="10"/>
  <c r="T45" i="10" s="1"/>
  <c r="Q45" i="10"/>
  <c r="N46" i="10"/>
  <c r="P46" i="10"/>
  <c r="T46" i="10" s="1"/>
  <c r="Q46" i="10"/>
  <c r="N47" i="10"/>
  <c r="P47" i="10"/>
  <c r="T47" i="10" s="1"/>
  <c r="Q47" i="10"/>
  <c r="N48" i="10"/>
  <c r="P48" i="10"/>
  <c r="T48" i="10" s="1"/>
  <c r="Q48" i="10"/>
  <c r="N49" i="10"/>
  <c r="P49" i="10"/>
  <c r="T49" i="10" s="1"/>
  <c r="Q49" i="10"/>
  <c r="N50" i="10"/>
  <c r="P50" i="10"/>
  <c r="T50" i="10" s="1"/>
  <c r="Q50" i="10"/>
  <c r="N51" i="10"/>
  <c r="P51" i="10"/>
  <c r="T51" i="10" s="1"/>
  <c r="Q51" i="10"/>
  <c r="N52" i="10"/>
  <c r="P52" i="10"/>
  <c r="T52" i="10" s="1"/>
  <c r="Q52" i="10"/>
  <c r="N53" i="10"/>
  <c r="P53" i="10"/>
  <c r="T53" i="10" s="1"/>
  <c r="Q53" i="10"/>
  <c r="N54" i="10"/>
  <c r="P54" i="10"/>
  <c r="T54" i="10" s="1"/>
  <c r="Q54" i="10"/>
  <c r="N55" i="10"/>
  <c r="P55" i="10"/>
  <c r="T55" i="10" s="1"/>
  <c r="Q55" i="10"/>
  <c r="N56" i="10"/>
  <c r="P56" i="10"/>
  <c r="T56" i="10" s="1"/>
  <c r="Q56" i="10"/>
  <c r="N57" i="10"/>
  <c r="P57" i="10"/>
  <c r="T57" i="10" s="1"/>
  <c r="Q57" i="10"/>
  <c r="N58" i="10"/>
  <c r="P58" i="10"/>
  <c r="T58" i="10" s="1"/>
  <c r="Q58" i="10"/>
  <c r="N59" i="10"/>
  <c r="P59" i="10"/>
  <c r="T59" i="10" s="1"/>
  <c r="Q59" i="10"/>
  <c r="N60" i="10"/>
  <c r="P60" i="10"/>
  <c r="T60" i="10" s="1"/>
  <c r="Q60" i="10"/>
  <c r="N61" i="10"/>
  <c r="P61" i="10"/>
  <c r="T61" i="10" s="1"/>
  <c r="Q61" i="10"/>
  <c r="N62" i="10"/>
  <c r="P62" i="10"/>
  <c r="T62" i="10" s="1"/>
  <c r="Q62" i="10"/>
  <c r="N63" i="10"/>
  <c r="P63" i="10"/>
  <c r="T63" i="10" s="1"/>
  <c r="Q63" i="10"/>
  <c r="N64" i="10"/>
  <c r="P64" i="10"/>
  <c r="T64" i="10" s="1"/>
  <c r="Q64" i="10"/>
  <c r="N65" i="10"/>
  <c r="P65" i="10"/>
  <c r="T65" i="10" s="1"/>
  <c r="Q65" i="10"/>
  <c r="N66" i="10"/>
  <c r="P66" i="10"/>
  <c r="T66" i="10" s="1"/>
  <c r="Q66" i="10"/>
  <c r="N67" i="10"/>
  <c r="P67" i="10"/>
  <c r="T67" i="10" s="1"/>
  <c r="Q67" i="10"/>
  <c r="N68" i="10"/>
  <c r="P68" i="10"/>
  <c r="T68" i="10" s="1"/>
  <c r="Q68" i="10"/>
  <c r="N69" i="10"/>
  <c r="P69" i="10"/>
  <c r="T69" i="10" s="1"/>
  <c r="Q69" i="10"/>
  <c r="N70" i="10"/>
  <c r="P70" i="10"/>
  <c r="T70" i="10" s="1"/>
  <c r="Q70" i="10"/>
  <c r="N71" i="10"/>
  <c r="P71" i="10"/>
  <c r="T71" i="10" s="1"/>
  <c r="Q71" i="10"/>
  <c r="N72" i="10"/>
  <c r="P72" i="10"/>
  <c r="T72" i="10" s="1"/>
  <c r="Q72" i="10"/>
  <c r="N73" i="10"/>
  <c r="P73" i="10"/>
  <c r="T73" i="10" s="1"/>
  <c r="Q73" i="10"/>
  <c r="N74" i="10"/>
  <c r="P74" i="10"/>
  <c r="T74" i="10" s="1"/>
  <c r="Q74" i="10"/>
  <c r="N75" i="10"/>
  <c r="P75" i="10"/>
  <c r="T75" i="10" s="1"/>
  <c r="Q75" i="10"/>
  <c r="N76" i="10"/>
  <c r="P76" i="10"/>
  <c r="T76" i="10" s="1"/>
  <c r="Q76" i="10"/>
  <c r="N77" i="10"/>
  <c r="P77" i="10"/>
  <c r="T77" i="10" s="1"/>
  <c r="Q77" i="10"/>
  <c r="N78" i="10"/>
  <c r="P78" i="10"/>
  <c r="T78" i="10" s="1"/>
  <c r="Q78" i="10"/>
  <c r="N79" i="10"/>
  <c r="P79" i="10"/>
  <c r="T79" i="10" s="1"/>
  <c r="Q79" i="10"/>
  <c r="N80" i="10"/>
  <c r="P80" i="10"/>
  <c r="T80" i="10" s="1"/>
  <c r="Q80" i="10"/>
  <c r="N81" i="10"/>
  <c r="P81" i="10"/>
  <c r="T81" i="10" s="1"/>
  <c r="Q81" i="10"/>
  <c r="N82" i="10"/>
  <c r="P82" i="10"/>
  <c r="T82" i="10" s="1"/>
  <c r="Q82" i="10"/>
  <c r="N83" i="10"/>
  <c r="P83" i="10"/>
  <c r="T83" i="10" s="1"/>
  <c r="Q83" i="10"/>
  <c r="N84" i="10"/>
  <c r="P84" i="10"/>
  <c r="T84" i="10" s="1"/>
  <c r="Q84" i="10"/>
  <c r="N85" i="10"/>
  <c r="P85" i="10"/>
  <c r="T85" i="10" s="1"/>
  <c r="Q85" i="10"/>
  <c r="N86" i="10"/>
  <c r="P86" i="10"/>
  <c r="T86" i="10" s="1"/>
  <c r="Q86" i="10"/>
  <c r="N87" i="10"/>
  <c r="P87" i="10"/>
  <c r="T87" i="10" s="1"/>
  <c r="Q87" i="10"/>
  <c r="N88" i="10"/>
  <c r="P88" i="10"/>
  <c r="T88" i="10" s="1"/>
  <c r="Q88" i="10"/>
  <c r="N89" i="10"/>
  <c r="P89" i="10"/>
  <c r="T89" i="10" s="1"/>
  <c r="Q89" i="10"/>
  <c r="N90" i="10"/>
  <c r="P90" i="10"/>
  <c r="T90" i="10" s="1"/>
  <c r="Q90" i="10"/>
  <c r="N91" i="10"/>
  <c r="P91" i="10"/>
  <c r="T91" i="10" s="1"/>
  <c r="Q91" i="10"/>
  <c r="N92" i="10"/>
  <c r="P92" i="10"/>
  <c r="T92" i="10" s="1"/>
  <c r="Q92" i="10"/>
  <c r="N93" i="10"/>
  <c r="P93" i="10"/>
  <c r="T93" i="10" s="1"/>
  <c r="Q93" i="10"/>
  <c r="K94" i="10"/>
  <c r="L94" i="10"/>
  <c r="N94" i="10"/>
  <c r="P94" i="10"/>
  <c r="T94" i="10" s="1"/>
  <c r="Q94" i="10"/>
  <c r="N95" i="10"/>
  <c r="P95" i="10"/>
  <c r="T95" i="10" s="1"/>
  <c r="Q95" i="10"/>
  <c r="N96" i="10"/>
  <c r="P96" i="10"/>
  <c r="Q96" i="10"/>
  <c r="N97" i="10"/>
  <c r="P97" i="10"/>
  <c r="Q97" i="10"/>
  <c r="N98" i="10"/>
  <c r="P98" i="10"/>
  <c r="Q98" i="10"/>
  <c r="N99" i="10"/>
  <c r="P99" i="10"/>
  <c r="Q99" i="10"/>
  <c r="N100" i="10"/>
  <c r="P100" i="10"/>
  <c r="Q100" i="10"/>
  <c r="N101" i="10"/>
  <c r="P101" i="10"/>
  <c r="Q101" i="10"/>
  <c r="N102" i="10"/>
  <c r="P102" i="10"/>
  <c r="Q102" i="10"/>
  <c r="N103" i="10"/>
  <c r="P103" i="10"/>
  <c r="Q103" i="10"/>
  <c r="R103" i="10"/>
  <c r="N104" i="10"/>
  <c r="P104" i="10"/>
  <c r="Q104" i="10"/>
  <c r="R104" i="10"/>
  <c r="N105" i="10"/>
  <c r="P105" i="10"/>
  <c r="Q105" i="10"/>
  <c r="R105" i="10"/>
  <c r="N106" i="10"/>
  <c r="P106" i="10"/>
  <c r="Q106" i="10"/>
  <c r="R106" i="10"/>
  <c r="N107" i="10"/>
  <c r="P107" i="10"/>
  <c r="Q107" i="10"/>
  <c r="R107" i="10"/>
  <c r="N108" i="10"/>
  <c r="P108" i="10"/>
  <c r="Q108" i="10"/>
  <c r="R108" i="10"/>
  <c r="N109" i="10"/>
  <c r="P109" i="10"/>
  <c r="Q109" i="10"/>
  <c r="R109" i="10"/>
  <c r="L4" i="11"/>
  <c r="N4" i="11"/>
  <c r="P4" i="11"/>
  <c r="T4" i="11" s="1"/>
  <c r="Q4" i="11"/>
  <c r="R4" i="11"/>
  <c r="L5" i="11"/>
  <c r="N5" i="11"/>
  <c r="P5" i="11"/>
  <c r="T5" i="11" s="1"/>
  <c r="Q5" i="11"/>
  <c r="R5" i="11"/>
  <c r="K6" i="11"/>
  <c r="L6" i="11"/>
  <c r="M6" i="11"/>
  <c r="N6" i="11"/>
  <c r="P6" i="11"/>
  <c r="T6" i="11" s="1"/>
  <c r="Q6" i="11"/>
  <c r="R6" i="11"/>
  <c r="L7" i="11"/>
  <c r="N7" i="11"/>
  <c r="P7" i="11"/>
  <c r="T7" i="11" s="1"/>
  <c r="Q7" i="11"/>
  <c r="R7" i="11"/>
  <c r="L8" i="11"/>
  <c r="N8" i="11"/>
  <c r="P8" i="11"/>
  <c r="T8" i="11" s="1"/>
  <c r="Q8" i="11"/>
  <c r="R8" i="11"/>
  <c r="K9" i="11"/>
  <c r="L9" i="11"/>
  <c r="N9" i="11"/>
  <c r="P9" i="11"/>
  <c r="T9" i="11" s="1"/>
  <c r="Q9" i="11"/>
  <c r="R9" i="11"/>
  <c r="K10" i="11"/>
  <c r="L10" i="11"/>
  <c r="M10" i="11"/>
  <c r="N10" i="11"/>
  <c r="P10" i="11"/>
  <c r="T10" i="11" s="1"/>
  <c r="Q10" i="11"/>
  <c r="R10" i="11"/>
  <c r="L11" i="11"/>
  <c r="N11" i="11"/>
  <c r="P11" i="11"/>
  <c r="T11" i="11" s="1"/>
  <c r="Q11" i="11"/>
  <c r="R11" i="11"/>
  <c r="L12" i="11"/>
  <c r="N12" i="11"/>
  <c r="P12" i="11"/>
  <c r="T12" i="11" s="1"/>
  <c r="Q12" i="11"/>
  <c r="R12" i="11"/>
  <c r="K13" i="11"/>
  <c r="L13" i="11"/>
  <c r="M13" i="11"/>
  <c r="N13" i="11"/>
  <c r="P13" i="11"/>
  <c r="T13" i="11" s="1"/>
  <c r="Q13" i="11"/>
  <c r="R13" i="11"/>
  <c r="K14" i="11"/>
  <c r="L14" i="11"/>
  <c r="M14" i="11"/>
  <c r="N14" i="11"/>
  <c r="P14" i="11"/>
  <c r="T14" i="11" s="1"/>
  <c r="Q14" i="11"/>
  <c r="R14" i="11"/>
  <c r="L15" i="11"/>
  <c r="N15" i="11"/>
  <c r="P15" i="11"/>
  <c r="T15" i="11" s="1"/>
  <c r="Q15" i="11"/>
  <c r="R15" i="11"/>
  <c r="L16" i="11"/>
  <c r="N16" i="11"/>
  <c r="P16" i="11"/>
  <c r="T16" i="11" s="1"/>
  <c r="Q16" i="11"/>
  <c r="R16" i="11"/>
  <c r="K17" i="11"/>
  <c r="L17" i="11"/>
  <c r="N17" i="11"/>
  <c r="P17" i="11"/>
  <c r="T17" i="11" s="1"/>
  <c r="Q17" i="11"/>
  <c r="R17" i="11"/>
  <c r="L18" i="11"/>
  <c r="N18" i="11"/>
  <c r="P18" i="11"/>
  <c r="T18" i="11" s="1"/>
  <c r="Q18" i="11"/>
  <c r="R18" i="11"/>
  <c r="L19" i="11"/>
  <c r="N19" i="11"/>
  <c r="P19" i="11"/>
  <c r="T19" i="11" s="1"/>
  <c r="Q19" i="11"/>
  <c r="R19" i="11"/>
  <c r="L20" i="11"/>
  <c r="N20" i="11"/>
  <c r="P20" i="11"/>
  <c r="T20" i="11" s="1"/>
  <c r="Q20" i="11"/>
  <c r="R20" i="11"/>
  <c r="K21" i="11"/>
  <c r="L21" i="11"/>
  <c r="N21" i="11"/>
  <c r="P21" i="11"/>
  <c r="T21" i="11" s="1"/>
  <c r="Q21" i="11"/>
  <c r="R21" i="11"/>
  <c r="L22" i="11"/>
  <c r="N22" i="11"/>
  <c r="P22" i="11"/>
  <c r="T22" i="11" s="1"/>
  <c r="Q22" i="11"/>
  <c r="R22" i="11"/>
  <c r="K23" i="11"/>
  <c r="L23" i="11"/>
  <c r="M23" i="11"/>
  <c r="N23" i="11"/>
  <c r="P23" i="11"/>
  <c r="T23" i="11" s="1"/>
  <c r="Q23" i="11"/>
  <c r="R23" i="11"/>
  <c r="K24" i="11"/>
  <c r="L24" i="11"/>
  <c r="M24" i="11"/>
  <c r="N24" i="11"/>
  <c r="P24" i="11"/>
  <c r="T24" i="11" s="1"/>
  <c r="Q24" i="11"/>
  <c r="R24" i="11"/>
  <c r="K25" i="11"/>
  <c r="L25" i="11"/>
  <c r="M25" i="11"/>
  <c r="N25" i="11"/>
  <c r="P25" i="11"/>
  <c r="T25" i="11" s="1"/>
  <c r="Q25" i="11"/>
  <c r="R25" i="11"/>
  <c r="K26" i="11"/>
  <c r="L26" i="11"/>
  <c r="N26" i="11"/>
  <c r="P26" i="11"/>
  <c r="T26" i="11" s="1"/>
  <c r="Q26" i="11"/>
  <c r="R26" i="11"/>
  <c r="L27" i="11"/>
  <c r="N27" i="11"/>
  <c r="P27" i="11"/>
  <c r="T27" i="11" s="1"/>
  <c r="Q27" i="11"/>
  <c r="R27" i="11"/>
  <c r="L28" i="11"/>
  <c r="N28" i="11"/>
  <c r="P28" i="11"/>
  <c r="T28" i="11" s="1"/>
  <c r="Q28" i="11"/>
  <c r="R28" i="11"/>
  <c r="K29" i="11"/>
  <c r="L29" i="11"/>
  <c r="N29" i="11"/>
  <c r="P29" i="11"/>
  <c r="T29" i="11" s="1"/>
  <c r="Q29" i="11"/>
  <c r="R29" i="11"/>
  <c r="L30" i="11"/>
  <c r="N30" i="11"/>
  <c r="P30" i="11"/>
  <c r="T30" i="11" s="1"/>
  <c r="Q30" i="11"/>
  <c r="R30" i="11"/>
  <c r="L31" i="11"/>
  <c r="N31" i="11"/>
  <c r="P31" i="11"/>
  <c r="T31" i="11" s="1"/>
  <c r="Q31" i="11"/>
  <c r="R31" i="11"/>
  <c r="K32" i="11"/>
  <c r="L32" i="11"/>
  <c r="N32" i="11"/>
  <c r="P32" i="11"/>
  <c r="T32" i="11" s="1"/>
  <c r="Q32" i="11"/>
  <c r="R32" i="11"/>
  <c r="K33" i="11"/>
  <c r="L33" i="11"/>
  <c r="N33" i="11"/>
  <c r="P33" i="11"/>
  <c r="T33" i="11" s="1"/>
  <c r="Q33" i="11"/>
  <c r="R33" i="11"/>
  <c r="K34" i="11"/>
  <c r="L34" i="11"/>
  <c r="N34" i="11"/>
  <c r="P34" i="11"/>
  <c r="T34" i="11" s="1"/>
  <c r="Q34" i="11"/>
  <c r="R34" i="11"/>
  <c r="K35" i="11"/>
  <c r="L35" i="11"/>
  <c r="M35" i="11"/>
  <c r="N35" i="11"/>
  <c r="P35" i="11"/>
  <c r="T35" i="11" s="1"/>
  <c r="Q35" i="11"/>
  <c r="R35" i="11"/>
  <c r="K36" i="11"/>
  <c r="L36" i="11"/>
  <c r="M36" i="11"/>
  <c r="N36" i="11"/>
  <c r="P36" i="11"/>
  <c r="T36" i="11" s="1"/>
  <c r="Q36" i="11"/>
  <c r="R36" i="11"/>
  <c r="K37" i="11"/>
  <c r="L37" i="11"/>
  <c r="N37" i="11"/>
  <c r="P37" i="11"/>
  <c r="T37" i="11" s="1"/>
  <c r="Q37" i="11"/>
  <c r="R37" i="11"/>
  <c r="L38" i="11"/>
  <c r="N38" i="11"/>
  <c r="P38" i="11"/>
  <c r="T38" i="11" s="1"/>
  <c r="Q38" i="11"/>
  <c r="R38" i="11"/>
  <c r="K39" i="11"/>
  <c r="L39" i="11"/>
  <c r="N39" i="11"/>
  <c r="P39" i="11"/>
  <c r="T39" i="11" s="1"/>
  <c r="Q39" i="11"/>
  <c r="R39" i="11"/>
  <c r="K40" i="11"/>
  <c r="L40" i="11"/>
  <c r="N40" i="11"/>
  <c r="P40" i="11"/>
  <c r="T40" i="11" s="1"/>
  <c r="Q40" i="11"/>
  <c r="R40" i="11"/>
  <c r="L41" i="11"/>
  <c r="N41" i="11"/>
  <c r="P41" i="11"/>
  <c r="T41" i="11" s="1"/>
  <c r="Q41" i="11"/>
  <c r="R41" i="11"/>
  <c r="L42" i="11"/>
  <c r="N42" i="11"/>
  <c r="P42" i="11"/>
  <c r="T42" i="11" s="1"/>
  <c r="Q42" i="11"/>
  <c r="R42" i="11"/>
  <c r="L43" i="11"/>
  <c r="N43" i="11"/>
  <c r="P43" i="11"/>
  <c r="T43" i="11" s="1"/>
  <c r="Q43" i="11"/>
  <c r="R43" i="11"/>
  <c r="L44" i="11"/>
  <c r="N44" i="11"/>
  <c r="P44" i="11"/>
  <c r="T44" i="11" s="1"/>
  <c r="Q44" i="11"/>
  <c r="R44" i="11"/>
  <c r="K45" i="11"/>
  <c r="L45" i="11"/>
  <c r="N45" i="11"/>
  <c r="P45" i="11"/>
  <c r="T45" i="11" s="1"/>
  <c r="Q45" i="11"/>
  <c r="R45" i="11"/>
  <c r="K46" i="11"/>
  <c r="L46" i="11"/>
  <c r="N46" i="11"/>
  <c r="P46" i="11"/>
  <c r="T46" i="11" s="1"/>
  <c r="Q46" i="11"/>
  <c r="R46" i="11"/>
  <c r="K47" i="11"/>
  <c r="L47" i="11"/>
  <c r="M47" i="11"/>
  <c r="N47" i="11"/>
  <c r="P47" i="11"/>
  <c r="T47" i="11" s="1"/>
  <c r="Q47" i="11"/>
  <c r="R47" i="11"/>
  <c r="K48" i="11"/>
  <c r="L48" i="11"/>
  <c r="M48" i="11"/>
  <c r="N48" i="11"/>
  <c r="P48" i="11"/>
  <c r="T48" i="11" s="1"/>
  <c r="Q48" i="11"/>
  <c r="R48" i="11"/>
  <c r="K49" i="11"/>
  <c r="L49" i="11"/>
  <c r="M49" i="11"/>
  <c r="N49" i="11"/>
  <c r="P49" i="11"/>
  <c r="T49" i="11" s="1"/>
  <c r="Q49" i="11"/>
  <c r="R49" i="11"/>
  <c r="K50" i="11"/>
  <c r="L50" i="11"/>
  <c r="N50" i="11"/>
  <c r="P50" i="11"/>
  <c r="T50" i="11" s="1"/>
  <c r="Q50" i="11"/>
  <c r="R50" i="11"/>
  <c r="L51" i="11"/>
  <c r="N51" i="11"/>
  <c r="P51" i="11"/>
  <c r="T51" i="11" s="1"/>
  <c r="Q51" i="11"/>
  <c r="R51" i="11"/>
  <c r="L52" i="11"/>
  <c r="N52" i="11"/>
  <c r="P52" i="11"/>
  <c r="T52" i="11" s="1"/>
  <c r="Q52" i="11"/>
  <c r="R52" i="11"/>
  <c r="K53" i="11"/>
  <c r="L53" i="11"/>
  <c r="N53" i="11"/>
  <c r="P53" i="11"/>
  <c r="T53" i="11" s="1"/>
  <c r="Q53" i="11"/>
  <c r="R53" i="11"/>
  <c r="L54" i="11"/>
  <c r="N54" i="11"/>
  <c r="P54" i="11"/>
  <c r="T54" i="11" s="1"/>
  <c r="Q54" i="11"/>
  <c r="R54" i="11"/>
  <c r="L55" i="11"/>
  <c r="N55" i="11"/>
  <c r="P55" i="11"/>
  <c r="T55" i="11" s="1"/>
  <c r="Q55" i="11"/>
  <c r="R55" i="11"/>
  <c r="L56" i="11"/>
  <c r="N56" i="11"/>
  <c r="P56" i="11"/>
  <c r="T56" i="11" s="1"/>
  <c r="Q56" i="11"/>
  <c r="R56" i="11"/>
  <c r="K57" i="11"/>
  <c r="L57" i="11"/>
  <c r="N57" i="11"/>
  <c r="P57" i="11"/>
  <c r="T57" i="11" s="1"/>
  <c r="Q57" i="11"/>
  <c r="R57" i="11"/>
  <c r="K58" i="11"/>
  <c r="L58" i="11"/>
  <c r="M58" i="11"/>
  <c r="N58" i="11"/>
  <c r="P58" i="11"/>
  <c r="T58" i="11" s="1"/>
  <c r="Q58" i="11"/>
  <c r="R58" i="11"/>
  <c r="K59" i="11"/>
  <c r="L59" i="11"/>
  <c r="M59" i="11"/>
  <c r="N59" i="11"/>
  <c r="P59" i="11"/>
  <c r="T59" i="11" s="1"/>
  <c r="Q59" i="11"/>
  <c r="R59" i="11"/>
  <c r="L60" i="11"/>
  <c r="N60" i="11"/>
  <c r="P60" i="11"/>
  <c r="T60" i="11" s="1"/>
  <c r="Q60" i="11"/>
  <c r="R60" i="11"/>
  <c r="L61" i="11"/>
  <c r="P61" i="11"/>
  <c r="T61" i="11" s="1"/>
  <c r="Q61" i="11"/>
  <c r="R61" i="11"/>
  <c r="L62" i="11"/>
  <c r="N62" i="11"/>
  <c r="P62" i="11"/>
  <c r="T62" i="11" s="1"/>
  <c r="Q62" i="11"/>
  <c r="R62" i="11"/>
  <c r="K63" i="11"/>
  <c r="L63" i="11"/>
  <c r="N63" i="11"/>
  <c r="P63" i="11"/>
  <c r="T63" i="11" s="1"/>
  <c r="Q63" i="11"/>
  <c r="R63" i="11"/>
  <c r="L64" i="11"/>
  <c r="N64" i="11"/>
  <c r="P64" i="11"/>
  <c r="T64" i="11" s="1"/>
  <c r="Q64" i="11"/>
  <c r="R64" i="11"/>
  <c r="L65" i="11"/>
  <c r="N65" i="11"/>
  <c r="P65" i="11"/>
  <c r="T65" i="11" s="1"/>
  <c r="Q65" i="11"/>
  <c r="R65" i="11"/>
  <c r="L66" i="11"/>
  <c r="N66" i="11"/>
  <c r="P66" i="11"/>
  <c r="T66" i="11" s="1"/>
  <c r="Q66" i="11"/>
  <c r="R66" i="11"/>
  <c r="L67" i="11"/>
  <c r="N67" i="11"/>
  <c r="P67" i="11"/>
  <c r="T67" i="11" s="1"/>
  <c r="Q67" i="11"/>
  <c r="R67" i="11"/>
  <c r="K68" i="11"/>
  <c r="L68" i="11"/>
  <c r="N68" i="11"/>
  <c r="P68" i="11"/>
  <c r="T68" i="11" s="1"/>
  <c r="Q68" i="11"/>
  <c r="L69" i="11"/>
  <c r="N69" i="11"/>
  <c r="P69" i="11"/>
  <c r="T69" i="11" s="1"/>
  <c r="Q69" i="11"/>
  <c r="R69" i="11"/>
  <c r="K70" i="11"/>
  <c r="L70" i="11"/>
  <c r="M70" i="11"/>
  <c r="N70" i="11"/>
  <c r="P70" i="11"/>
  <c r="T70" i="11" s="1"/>
  <c r="Q70" i="11"/>
  <c r="R70" i="11"/>
  <c r="K71" i="11"/>
  <c r="L71" i="11"/>
  <c r="M71" i="11"/>
  <c r="N71" i="11"/>
  <c r="P71" i="11"/>
  <c r="T71" i="11" s="1"/>
  <c r="Q71" i="11"/>
  <c r="R71" i="11"/>
  <c r="K72" i="11"/>
  <c r="L72" i="11"/>
  <c r="N72" i="11"/>
  <c r="P72" i="11"/>
  <c r="T72" i="11" s="1"/>
  <c r="Q72" i="11"/>
  <c r="R72" i="11"/>
  <c r="L73" i="11"/>
  <c r="N73" i="11"/>
  <c r="P73" i="11"/>
  <c r="T73" i="11" s="1"/>
  <c r="Q73" i="11"/>
  <c r="R73" i="11"/>
  <c r="K74" i="11"/>
  <c r="L74" i="11"/>
  <c r="N74" i="11"/>
  <c r="P74" i="11"/>
  <c r="T74" i="11" s="1"/>
  <c r="Q74" i="11"/>
  <c r="R74" i="11"/>
  <c r="K75" i="11"/>
  <c r="L75" i="11"/>
  <c r="N75" i="11"/>
  <c r="P75" i="11"/>
  <c r="T75" i="11" s="1"/>
  <c r="Q75" i="11"/>
  <c r="R75" i="11"/>
  <c r="L76" i="11"/>
  <c r="N76" i="11"/>
  <c r="P76" i="11"/>
  <c r="T76" i="11" s="1"/>
  <c r="Q76" i="11"/>
  <c r="L77" i="11"/>
  <c r="N77" i="11"/>
  <c r="P77" i="11"/>
  <c r="T77" i="11" s="1"/>
  <c r="Q77" i="11"/>
  <c r="R77" i="11"/>
  <c r="L78" i="11"/>
  <c r="N78" i="11"/>
  <c r="P78" i="11"/>
  <c r="T78" i="11" s="1"/>
  <c r="Q78" i="11"/>
  <c r="L79" i="11"/>
  <c r="N79" i="11"/>
  <c r="P79" i="11"/>
  <c r="T79" i="11" s="1"/>
  <c r="Q79" i="11"/>
  <c r="R79" i="11"/>
  <c r="K80" i="11"/>
  <c r="L80" i="11"/>
  <c r="N80" i="11"/>
  <c r="P80" i="11"/>
  <c r="T80" i="11" s="1"/>
  <c r="Q80" i="11"/>
  <c r="K81" i="11"/>
  <c r="L81" i="11"/>
  <c r="M81" i="11"/>
  <c r="N81" i="11"/>
  <c r="P81" i="11"/>
  <c r="T81" i="11" s="1"/>
  <c r="Q81" i="11"/>
  <c r="R81" i="11"/>
  <c r="K82" i="11"/>
  <c r="L82" i="11"/>
  <c r="M82" i="11"/>
  <c r="N82" i="11"/>
  <c r="P82" i="11"/>
  <c r="T82" i="11" s="1"/>
  <c r="Q82" i="11"/>
  <c r="R82" i="11"/>
  <c r="K83" i="11"/>
  <c r="L83" i="11"/>
  <c r="N83" i="11"/>
  <c r="P83" i="11"/>
  <c r="T83" i="11" s="1"/>
  <c r="Q83" i="11"/>
  <c r="R83" i="11"/>
  <c r="L84" i="11"/>
  <c r="N84" i="11"/>
  <c r="P84" i="11"/>
  <c r="T84" i="11" s="1"/>
  <c r="Q84" i="11"/>
  <c r="L85" i="11"/>
  <c r="N85" i="11"/>
  <c r="P85" i="11"/>
  <c r="T85" i="11" s="1"/>
  <c r="Q85" i="11"/>
  <c r="R85" i="11"/>
  <c r="K86" i="11"/>
  <c r="L86" i="11"/>
  <c r="N86" i="11"/>
  <c r="P86" i="11"/>
  <c r="T86" i="11" s="1"/>
  <c r="Q86" i="11"/>
  <c r="R86" i="11"/>
  <c r="L87" i="11"/>
  <c r="N87" i="11"/>
  <c r="P87" i="11"/>
  <c r="T87" i="11" s="1"/>
  <c r="Q87" i="11"/>
  <c r="R87" i="11"/>
  <c r="K88" i="11"/>
  <c r="L88" i="11"/>
  <c r="N88" i="11"/>
  <c r="P88" i="11"/>
  <c r="T88" i="11" s="1"/>
  <c r="Q88" i="11"/>
  <c r="R88" i="11"/>
  <c r="L89" i="11"/>
  <c r="N89" i="11"/>
  <c r="P89" i="11"/>
  <c r="T89" i="11" s="1"/>
  <c r="Q89" i="11"/>
  <c r="K90" i="11"/>
  <c r="L90" i="11"/>
  <c r="M90" i="11"/>
  <c r="N90" i="11"/>
  <c r="P90" i="11"/>
  <c r="T90" i="11" s="1"/>
  <c r="Q90" i="11"/>
  <c r="R90" i="11"/>
  <c r="K91" i="11"/>
  <c r="L91" i="11"/>
  <c r="M91" i="11"/>
  <c r="N91" i="11"/>
  <c r="P91" i="11"/>
  <c r="T91" i="11" s="1"/>
  <c r="Q91" i="11"/>
  <c r="R91" i="11"/>
  <c r="K92" i="11"/>
  <c r="L92" i="11"/>
  <c r="M92" i="11"/>
  <c r="N92" i="11"/>
  <c r="P92" i="11"/>
  <c r="T92" i="11" s="1"/>
  <c r="Q92" i="11"/>
  <c r="R92" i="11"/>
  <c r="K93" i="11"/>
  <c r="L93" i="11"/>
  <c r="M93" i="11"/>
  <c r="N93" i="11"/>
  <c r="P93" i="11"/>
  <c r="T93" i="11" s="1"/>
  <c r="Q93" i="11"/>
  <c r="R93" i="11"/>
  <c r="K94" i="11"/>
  <c r="L94" i="11"/>
  <c r="M94" i="11"/>
  <c r="N94" i="11"/>
  <c r="P94" i="11"/>
  <c r="T94" i="11" s="1"/>
  <c r="Q94" i="11"/>
  <c r="R94" i="11"/>
  <c r="K95" i="11"/>
  <c r="L95" i="11"/>
  <c r="M95" i="11"/>
  <c r="N95" i="11"/>
  <c r="P95" i="11"/>
  <c r="T95" i="11" s="1"/>
  <c r="Q95" i="11"/>
  <c r="R95" i="11"/>
  <c r="K96" i="11"/>
  <c r="L96" i="11"/>
  <c r="M96" i="11"/>
  <c r="N96" i="11"/>
  <c r="P96" i="11"/>
  <c r="Q96" i="11"/>
  <c r="R96" i="11"/>
  <c r="N97" i="11"/>
  <c r="P97" i="11"/>
  <c r="Q97" i="11"/>
  <c r="R97" i="11"/>
  <c r="K98" i="11"/>
  <c r="L98" i="11"/>
  <c r="M98" i="11"/>
  <c r="N98" i="11"/>
  <c r="P98" i="11"/>
  <c r="Q98" i="11"/>
  <c r="R98" i="11"/>
  <c r="K99" i="11"/>
  <c r="L99" i="11"/>
  <c r="M99" i="11"/>
  <c r="N99" i="11"/>
  <c r="P99" i="11"/>
  <c r="Q99" i="11"/>
  <c r="R99" i="11"/>
  <c r="K100" i="11"/>
  <c r="L100" i="11"/>
  <c r="M100" i="11"/>
  <c r="N100" i="11"/>
  <c r="P100" i="11"/>
  <c r="Q100" i="11"/>
  <c r="R100" i="11"/>
  <c r="K101" i="11"/>
  <c r="L101" i="11"/>
  <c r="M101" i="11"/>
  <c r="N101" i="11"/>
  <c r="P101" i="11"/>
  <c r="Q101" i="11"/>
  <c r="R101" i="11"/>
  <c r="K102" i="11"/>
  <c r="L102" i="11"/>
  <c r="M102" i="11"/>
  <c r="N102" i="11"/>
  <c r="P102" i="11"/>
  <c r="Q102" i="11"/>
  <c r="R102" i="11"/>
  <c r="K103" i="11"/>
  <c r="L103" i="11"/>
  <c r="M103" i="11"/>
  <c r="N103" i="11"/>
  <c r="P103" i="11"/>
  <c r="Q103" i="11"/>
  <c r="R103" i="11"/>
  <c r="K104" i="11"/>
  <c r="L104" i="11"/>
  <c r="M104" i="11"/>
  <c r="N104" i="11"/>
  <c r="P104" i="11"/>
  <c r="Q104" i="11"/>
  <c r="R104" i="11"/>
  <c r="K105" i="11"/>
  <c r="L105" i="11"/>
  <c r="M105" i="11"/>
  <c r="N105" i="11"/>
  <c r="P105" i="11"/>
  <c r="Q105" i="11"/>
  <c r="R105" i="11"/>
  <c r="K106" i="11"/>
  <c r="L106" i="11"/>
  <c r="M106" i="11"/>
  <c r="N106" i="11"/>
  <c r="P106" i="11"/>
  <c r="Q106" i="11"/>
  <c r="R106" i="11"/>
  <c r="K107" i="11"/>
  <c r="L107" i="11"/>
  <c r="M107" i="11"/>
  <c r="N107" i="11"/>
  <c r="P107" i="11"/>
  <c r="Q107" i="11"/>
  <c r="R107" i="11"/>
  <c r="K108" i="11"/>
  <c r="L108" i="11"/>
  <c r="M108" i="11"/>
  <c r="N108" i="11"/>
  <c r="P108" i="11"/>
  <c r="Q108" i="11"/>
  <c r="R108" i="11"/>
  <c r="K109" i="11"/>
  <c r="L109" i="11"/>
  <c r="M109" i="11"/>
  <c r="N109" i="11"/>
  <c r="P109" i="11"/>
  <c r="Q109" i="11"/>
  <c r="R109" i="11"/>
  <c r="K4" i="12"/>
  <c r="L4" i="12"/>
  <c r="N4" i="12"/>
  <c r="P4" i="12"/>
  <c r="T4" i="12" s="1"/>
  <c r="Q4" i="12"/>
  <c r="R4" i="12"/>
  <c r="N5" i="12"/>
  <c r="P5" i="12"/>
  <c r="T5" i="12" s="1"/>
  <c r="Q5" i="12"/>
  <c r="R5" i="12"/>
  <c r="L6" i="12"/>
  <c r="N6" i="12"/>
  <c r="P6" i="12"/>
  <c r="T6" i="12" s="1"/>
  <c r="Q6" i="12"/>
  <c r="N7" i="12"/>
  <c r="P7" i="12"/>
  <c r="T7" i="12" s="1"/>
  <c r="Q7" i="12"/>
  <c r="R7" i="12"/>
  <c r="K8" i="12"/>
  <c r="N8" i="12"/>
  <c r="P8" i="12"/>
  <c r="T8" i="12" s="1"/>
  <c r="Q8" i="12"/>
  <c r="R8" i="12"/>
  <c r="L9" i="12"/>
  <c r="N9" i="12"/>
  <c r="P9" i="12"/>
  <c r="T9" i="12" s="1"/>
  <c r="Q9" i="12"/>
  <c r="L10" i="12"/>
  <c r="N10" i="12"/>
  <c r="P10" i="12"/>
  <c r="T10" i="12" s="1"/>
  <c r="Q10" i="12"/>
  <c r="R10" i="12"/>
  <c r="K11" i="12"/>
  <c r="L11" i="12"/>
  <c r="M11" i="12"/>
  <c r="N11" i="12"/>
  <c r="P11" i="12"/>
  <c r="T11" i="12" s="1"/>
  <c r="Q11" i="12"/>
  <c r="R11" i="12"/>
  <c r="K12" i="12"/>
  <c r="L12" i="12"/>
  <c r="M12" i="12"/>
  <c r="N12" i="12"/>
  <c r="P12" i="12"/>
  <c r="T12" i="12" s="1"/>
  <c r="Q12" i="12"/>
  <c r="R12" i="12"/>
  <c r="N13" i="12"/>
  <c r="P13" i="12"/>
  <c r="T13" i="12" s="1"/>
  <c r="Q13" i="12"/>
  <c r="N14" i="12"/>
  <c r="P14" i="12"/>
  <c r="T14" i="12" s="1"/>
  <c r="Q14" i="12"/>
  <c r="R14" i="12"/>
  <c r="N15" i="12"/>
  <c r="P15" i="12"/>
  <c r="T15" i="12" s="1"/>
  <c r="Q15" i="12"/>
  <c r="R15" i="12"/>
  <c r="K16" i="12"/>
  <c r="L16" i="12"/>
  <c r="N16" i="12"/>
  <c r="P16" i="12"/>
  <c r="T16" i="12" s="1"/>
  <c r="Q16" i="12"/>
  <c r="R16" i="12"/>
  <c r="N17" i="12"/>
  <c r="P17" i="12"/>
  <c r="T17" i="12" s="1"/>
  <c r="Q17" i="12"/>
  <c r="N18" i="12"/>
  <c r="P18" i="12"/>
  <c r="T18" i="12" s="1"/>
  <c r="Q18" i="12"/>
  <c r="R18" i="12"/>
  <c r="K19" i="12"/>
  <c r="L19" i="12"/>
  <c r="N19" i="12"/>
  <c r="P19" i="12"/>
  <c r="T19" i="12" s="1"/>
  <c r="Q19" i="12"/>
  <c r="R19" i="12"/>
  <c r="K20" i="12"/>
  <c r="N20" i="12"/>
  <c r="P20" i="12"/>
  <c r="T20" i="12" s="1"/>
  <c r="Q20" i="12"/>
  <c r="R20" i="12"/>
  <c r="K21" i="12"/>
  <c r="L21" i="12"/>
  <c r="M21" i="12"/>
  <c r="N21" i="12"/>
  <c r="P21" i="12"/>
  <c r="T21" i="12" s="1"/>
  <c r="Q21" i="12"/>
  <c r="R21" i="12"/>
  <c r="K22" i="12"/>
  <c r="L22" i="12"/>
  <c r="M22" i="12"/>
  <c r="N22" i="12"/>
  <c r="P22" i="12"/>
  <c r="T22" i="12" s="1"/>
  <c r="Q22" i="12"/>
  <c r="R22" i="12"/>
  <c r="N23" i="12"/>
  <c r="P23" i="12"/>
  <c r="T23" i="12" s="1"/>
  <c r="Q23" i="12"/>
  <c r="R23" i="12"/>
  <c r="L24" i="12"/>
  <c r="N24" i="12"/>
  <c r="P24" i="12"/>
  <c r="T24" i="12" s="1"/>
  <c r="Q24" i="12"/>
  <c r="R24" i="12"/>
  <c r="N25" i="12"/>
  <c r="P25" i="12"/>
  <c r="T25" i="12" s="1"/>
  <c r="Q25" i="12"/>
  <c r="R25" i="12"/>
  <c r="K26" i="12"/>
  <c r="L26" i="12"/>
  <c r="N26" i="12"/>
  <c r="P26" i="12"/>
  <c r="T26" i="12" s="1"/>
  <c r="Q26" i="12"/>
  <c r="R26" i="12"/>
  <c r="L27" i="12"/>
  <c r="N27" i="12"/>
  <c r="P27" i="12"/>
  <c r="T27" i="12" s="1"/>
  <c r="Q27" i="12"/>
  <c r="R27" i="12"/>
  <c r="K28" i="12"/>
  <c r="L28" i="12"/>
  <c r="N28" i="12"/>
  <c r="P28" i="12"/>
  <c r="T28" i="12" s="1"/>
  <c r="Q28" i="12"/>
  <c r="R28" i="12"/>
  <c r="K29" i="12"/>
  <c r="N29" i="12"/>
  <c r="P29" i="12"/>
  <c r="T29" i="12" s="1"/>
  <c r="Q29" i="12"/>
  <c r="R29" i="12"/>
  <c r="K30" i="12"/>
  <c r="L30" i="12"/>
  <c r="N30" i="12"/>
  <c r="P30" i="12"/>
  <c r="T30" i="12" s="1"/>
  <c r="Q30" i="12"/>
  <c r="R30" i="12"/>
  <c r="K31" i="12"/>
  <c r="L31" i="12"/>
  <c r="N31" i="12"/>
  <c r="P31" i="12"/>
  <c r="T31" i="12" s="1"/>
  <c r="Q31" i="12"/>
  <c r="K32" i="12"/>
  <c r="L32" i="12"/>
  <c r="M32" i="12"/>
  <c r="N32" i="12"/>
  <c r="P32" i="12"/>
  <c r="T32" i="12" s="1"/>
  <c r="Q32" i="12"/>
  <c r="R32" i="12"/>
  <c r="K33" i="12"/>
  <c r="L33" i="12"/>
  <c r="M33" i="12"/>
  <c r="N33" i="12"/>
  <c r="P33" i="12"/>
  <c r="T33" i="12" s="1"/>
  <c r="Q33" i="12"/>
  <c r="R33" i="12"/>
  <c r="K34" i="12"/>
  <c r="N34" i="12"/>
  <c r="P34" i="12"/>
  <c r="T34" i="12" s="1"/>
  <c r="Q34" i="12"/>
  <c r="R34" i="12"/>
  <c r="N35" i="12"/>
  <c r="P35" i="12"/>
  <c r="T35" i="12" s="1"/>
  <c r="Q35" i="12"/>
  <c r="R35" i="12"/>
  <c r="L36" i="12"/>
  <c r="N36" i="12"/>
  <c r="P36" i="12"/>
  <c r="T36" i="12" s="1"/>
  <c r="Q36" i="12"/>
  <c r="R36" i="12"/>
  <c r="N37" i="12"/>
  <c r="P37" i="12"/>
  <c r="T37" i="12" s="1"/>
  <c r="Q37" i="12"/>
  <c r="R37" i="12"/>
  <c r="L38" i="12"/>
  <c r="N38" i="12"/>
  <c r="P38" i="12"/>
  <c r="T38" i="12" s="1"/>
  <c r="Q38" i="12"/>
  <c r="K39" i="12"/>
  <c r="N39" i="12"/>
  <c r="P39" i="12"/>
  <c r="T39" i="12" s="1"/>
  <c r="Q39" i="12"/>
  <c r="R39" i="12"/>
  <c r="L40" i="12"/>
  <c r="N40" i="12"/>
  <c r="P40" i="12"/>
  <c r="T40" i="12" s="1"/>
  <c r="Q40" i="12"/>
  <c r="R40" i="12"/>
  <c r="K41" i="12"/>
  <c r="L41" i="12"/>
  <c r="N41" i="12"/>
  <c r="P41" i="12"/>
  <c r="T41" i="12" s="1"/>
  <c r="Q41" i="12"/>
  <c r="R41" i="12"/>
  <c r="K42" i="12"/>
  <c r="L42" i="12"/>
  <c r="M42" i="12"/>
  <c r="N42" i="12"/>
  <c r="P42" i="12"/>
  <c r="T42" i="12" s="1"/>
  <c r="Q42" i="12"/>
  <c r="R42" i="12"/>
  <c r="K43" i="12"/>
  <c r="L43" i="12"/>
  <c r="M43" i="12"/>
  <c r="N43" i="12"/>
  <c r="P43" i="12"/>
  <c r="T43" i="12" s="1"/>
  <c r="Q43" i="12"/>
  <c r="R43" i="12"/>
  <c r="K44" i="12"/>
  <c r="L44" i="12"/>
  <c r="M44" i="12"/>
  <c r="N44" i="12"/>
  <c r="P44" i="12"/>
  <c r="T44" i="12" s="1"/>
  <c r="Q44" i="12"/>
  <c r="R44" i="12"/>
  <c r="K45" i="12"/>
  <c r="N45" i="12"/>
  <c r="P45" i="12"/>
  <c r="T45" i="12" s="1"/>
  <c r="Q45" i="12"/>
  <c r="R45" i="12"/>
  <c r="N46" i="12"/>
  <c r="P46" i="12"/>
  <c r="T46" i="12" s="1"/>
  <c r="Q46" i="12"/>
  <c r="R46" i="12"/>
  <c r="N47" i="12"/>
  <c r="P47" i="12"/>
  <c r="T47" i="12" s="1"/>
  <c r="Q47" i="12"/>
  <c r="R47" i="12"/>
  <c r="N48" i="12"/>
  <c r="P48" i="12"/>
  <c r="T48" i="12" s="1"/>
  <c r="Q48" i="12"/>
  <c r="R48" i="12"/>
  <c r="N49" i="12"/>
  <c r="P49" i="12"/>
  <c r="T49" i="12" s="1"/>
  <c r="Q49" i="12"/>
  <c r="R49" i="12"/>
  <c r="N50" i="12"/>
  <c r="P50" i="12"/>
  <c r="T50" i="12" s="1"/>
  <c r="Q50" i="12"/>
  <c r="R50" i="12"/>
  <c r="K51" i="12"/>
  <c r="N51" i="12"/>
  <c r="P51" i="12"/>
  <c r="T51" i="12" s="1"/>
  <c r="Q51" i="12"/>
  <c r="R51" i="12"/>
  <c r="N52" i="12"/>
  <c r="P52" i="12"/>
  <c r="T52" i="12" s="1"/>
  <c r="Q52" i="12"/>
  <c r="R52" i="12"/>
  <c r="L53" i="12"/>
  <c r="N53" i="12"/>
  <c r="P53" i="12"/>
  <c r="T53" i="12" s="1"/>
  <c r="Q53" i="12"/>
  <c r="R53" i="12"/>
  <c r="K54" i="12"/>
  <c r="L54" i="12"/>
  <c r="M54" i="12"/>
  <c r="N54" i="12"/>
  <c r="P54" i="12"/>
  <c r="T54" i="12" s="1"/>
  <c r="Q54" i="12"/>
  <c r="R54" i="12"/>
  <c r="K55" i="12"/>
  <c r="L55" i="12"/>
  <c r="M55" i="12"/>
  <c r="N55" i="12"/>
  <c r="P55" i="12"/>
  <c r="T55" i="12" s="1"/>
  <c r="Q55" i="12"/>
  <c r="R55" i="12"/>
  <c r="N56" i="12"/>
  <c r="P56" i="12"/>
  <c r="T56" i="12" s="1"/>
  <c r="Q56" i="12"/>
  <c r="R56" i="12"/>
  <c r="N57" i="12"/>
  <c r="P57" i="12"/>
  <c r="T57" i="12" s="1"/>
  <c r="Q57" i="12"/>
  <c r="R57" i="12"/>
  <c r="L58" i="12"/>
  <c r="N58" i="12"/>
  <c r="P58" i="12"/>
  <c r="T58" i="12" s="1"/>
  <c r="Q58" i="12"/>
  <c r="K59" i="12"/>
  <c r="N59" i="12"/>
  <c r="P59" i="12"/>
  <c r="T59" i="12" s="1"/>
  <c r="Q59" i="12"/>
  <c r="R59" i="12"/>
  <c r="N60" i="12"/>
  <c r="P60" i="12"/>
  <c r="T60" i="12" s="1"/>
  <c r="Q60" i="12"/>
  <c r="R60" i="12"/>
  <c r="N61" i="12"/>
  <c r="P61" i="12"/>
  <c r="T61" i="12" s="1"/>
  <c r="Q61" i="12"/>
  <c r="R61" i="12"/>
  <c r="N62" i="12"/>
  <c r="P62" i="12"/>
  <c r="T62" i="12" s="1"/>
  <c r="Q62" i="12"/>
  <c r="R62" i="12"/>
  <c r="L63" i="12"/>
  <c r="N63" i="12"/>
  <c r="P63" i="12"/>
  <c r="T63" i="12" s="1"/>
  <c r="Q63" i="12"/>
  <c r="R63" i="12"/>
  <c r="N64" i="12"/>
  <c r="P64" i="12"/>
  <c r="T64" i="12" s="1"/>
  <c r="Q64" i="12"/>
  <c r="R64" i="12"/>
  <c r="K65" i="12"/>
  <c r="N65" i="12"/>
  <c r="P65" i="12"/>
  <c r="T65" i="12" s="1"/>
  <c r="Q65" i="12"/>
  <c r="R65" i="12"/>
  <c r="K66" i="12"/>
  <c r="L66" i="12"/>
  <c r="M66" i="12"/>
  <c r="N66" i="12"/>
  <c r="P66" i="12"/>
  <c r="T66" i="12" s="1"/>
  <c r="Q66" i="12"/>
  <c r="R66" i="12"/>
  <c r="K67" i="12"/>
  <c r="L67" i="12"/>
  <c r="M67" i="12"/>
  <c r="N67" i="12"/>
  <c r="P67" i="12"/>
  <c r="T67" i="12" s="1"/>
  <c r="Q67" i="12"/>
  <c r="R67" i="12"/>
  <c r="K68" i="12"/>
  <c r="L68" i="12"/>
  <c r="N68" i="12"/>
  <c r="P68" i="12"/>
  <c r="T68" i="12" s="1"/>
  <c r="Q68" i="12"/>
  <c r="R68" i="12"/>
  <c r="K69" i="12"/>
  <c r="L69" i="12"/>
  <c r="N69" i="12"/>
  <c r="P69" i="12"/>
  <c r="T69" i="12" s="1"/>
  <c r="Q69" i="12"/>
  <c r="R69" i="12"/>
  <c r="K70" i="12"/>
  <c r="L70" i="12"/>
  <c r="N70" i="12"/>
  <c r="P70" i="12"/>
  <c r="T70" i="12" s="1"/>
  <c r="Q70" i="12"/>
  <c r="R70" i="12"/>
  <c r="N71" i="12"/>
  <c r="P71" i="12"/>
  <c r="T71" i="12" s="1"/>
  <c r="Q71" i="12"/>
  <c r="R71" i="12"/>
  <c r="N72" i="12"/>
  <c r="P72" i="12"/>
  <c r="T72" i="12" s="1"/>
  <c r="Q72" i="12"/>
  <c r="R72" i="12"/>
  <c r="N73" i="12"/>
  <c r="P73" i="12"/>
  <c r="T73" i="12" s="1"/>
  <c r="Q73" i="12"/>
  <c r="R73" i="12"/>
  <c r="L74" i="12"/>
  <c r="N74" i="12"/>
  <c r="P74" i="12"/>
  <c r="T74" i="12" s="1"/>
  <c r="Q74" i="12"/>
  <c r="R74" i="12"/>
  <c r="N75" i="12"/>
  <c r="P75" i="12"/>
  <c r="T75" i="12" s="1"/>
  <c r="Q75" i="12"/>
  <c r="R75" i="12"/>
  <c r="N76" i="12"/>
  <c r="P76" i="12"/>
  <c r="T76" i="12" s="1"/>
  <c r="Q76" i="12"/>
  <c r="R76" i="12"/>
  <c r="K77" i="12"/>
  <c r="N77" i="12"/>
  <c r="P77" i="12"/>
  <c r="T77" i="12" s="1"/>
  <c r="Q77" i="12"/>
  <c r="R77" i="12"/>
  <c r="K78" i="12"/>
  <c r="L78" i="12"/>
  <c r="M78" i="12"/>
  <c r="N78" i="12"/>
  <c r="P78" i="12"/>
  <c r="T78" i="12" s="1"/>
  <c r="Q78" i="12"/>
  <c r="R78" i="12"/>
  <c r="K79" i="12"/>
  <c r="L79" i="12"/>
  <c r="M79" i="12"/>
  <c r="N79" i="12"/>
  <c r="P79" i="12"/>
  <c r="T79" i="12" s="1"/>
  <c r="Q79" i="12"/>
  <c r="R79" i="12"/>
  <c r="K80" i="12"/>
  <c r="L80" i="12"/>
  <c r="N80" i="12"/>
  <c r="P80" i="12"/>
  <c r="T80" i="12" s="1"/>
  <c r="Q80" i="12"/>
  <c r="R80" i="12"/>
  <c r="N81" i="12"/>
  <c r="P81" i="12"/>
  <c r="T81" i="12" s="1"/>
  <c r="Q81" i="12"/>
  <c r="R81" i="12"/>
  <c r="K82" i="12"/>
  <c r="N82" i="12"/>
  <c r="P82" i="12"/>
  <c r="T82" i="12" s="1"/>
  <c r="Q82" i="12"/>
  <c r="R82" i="12"/>
  <c r="N83" i="12"/>
  <c r="P83" i="12"/>
  <c r="T83" i="12" s="1"/>
  <c r="Q83" i="12"/>
  <c r="R83" i="12"/>
  <c r="N84" i="12"/>
  <c r="P84" i="12"/>
  <c r="T84" i="12" s="1"/>
  <c r="Q84" i="12"/>
  <c r="R84" i="12"/>
  <c r="K85" i="12"/>
  <c r="N85" i="12"/>
  <c r="P85" i="12"/>
  <c r="T85" i="12" s="1"/>
  <c r="Q85" i="12"/>
  <c r="R85" i="12"/>
  <c r="L86" i="12"/>
  <c r="N86" i="12"/>
  <c r="P86" i="12"/>
  <c r="T86" i="12" s="1"/>
  <c r="Q86" i="12"/>
  <c r="R86" i="12"/>
  <c r="K87" i="12"/>
  <c r="L87" i="12"/>
  <c r="M87" i="12"/>
  <c r="N87" i="12"/>
  <c r="P87" i="12"/>
  <c r="T87" i="12" s="1"/>
  <c r="Q87" i="12"/>
  <c r="R87" i="12"/>
  <c r="K88" i="12"/>
  <c r="L88" i="12"/>
  <c r="M88" i="12"/>
  <c r="N88" i="12"/>
  <c r="P88" i="12"/>
  <c r="T88" i="12" s="1"/>
  <c r="Q88" i="12"/>
  <c r="R88" i="12"/>
  <c r="K89" i="12"/>
  <c r="L89" i="12"/>
  <c r="M89" i="12"/>
  <c r="N89" i="12"/>
  <c r="P89" i="12"/>
  <c r="T89" i="12" s="1"/>
  <c r="Q89" i="12"/>
  <c r="R89" i="12"/>
  <c r="K90" i="12"/>
  <c r="L90" i="12"/>
  <c r="M90" i="12"/>
  <c r="N90" i="12"/>
  <c r="P90" i="12"/>
  <c r="T90" i="12" s="1"/>
  <c r="Q90" i="12"/>
  <c r="R90" i="12"/>
  <c r="K91" i="12"/>
  <c r="L91" i="12"/>
  <c r="M91" i="12"/>
  <c r="N91" i="12"/>
  <c r="P91" i="12"/>
  <c r="T91" i="12" s="1"/>
  <c r="Q91" i="12"/>
  <c r="R91" i="12"/>
  <c r="K92" i="12"/>
  <c r="L92" i="12"/>
  <c r="M92" i="12"/>
  <c r="N92" i="12"/>
  <c r="P92" i="12"/>
  <c r="T92" i="12" s="1"/>
  <c r="Q92" i="12"/>
  <c r="R92" i="12"/>
  <c r="K93" i="12"/>
  <c r="L93" i="12"/>
  <c r="M93" i="12"/>
  <c r="N93" i="12"/>
  <c r="P93" i="12"/>
  <c r="T93" i="12" s="1"/>
  <c r="Q93" i="12"/>
  <c r="R93" i="12"/>
  <c r="N94" i="12"/>
  <c r="P94" i="12"/>
  <c r="T94" i="12" s="1"/>
  <c r="Q94" i="12"/>
  <c r="R94" i="12"/>
  <c r="K95" i="12"/>
  <c r="L95" i="12"/>
  <c r="M95" i="12"/>
  <c r="N95" i="12"/>
  <c r="P95" i="12"/>
  <c r="T95" i="12" s="1"/>
  <c r="Q95" i="12"/>
  <c r="R95" i="12"/>
  <c r="K96" i="12"/>
  <c r="L96" i="12"/>
  <c r="M96" i="12"/>
  <c r="N96" i="12"/>
  <c r="P96" i="12"/>
  <c r="Q96" i="12"/>
  <c r="R96" i="12"/>
  <c r="K97" i="12"/>
  <c r="L97" i="12"/>
  <c r="M97" i="12"/>
  <c r="N97" i="12"/>
  <c r="P97" i="12"/>
  <c r="Q97" i="12"/>
  <c r="R97" i="12"/>
  <c r="K98" i="12"/>
  <c r="L98" i="12"/>
  <c r="M98" i="12"/>
  <c r="N98" i="12"/>
  <c r="P98" i="12"/>
  <c r="Q98" i="12"/>
  <c r="R98" i="12"/>
  <c r="K99" i="12"/>
  <c r="L99" i="12"/>
  <c r="M99" i="12"/>
  <c r="N99" i="12"/>
  <c r="P99" i="12"/>
  <c r="Q99" i="12"/>
  <c r="R99" i="12"/>
  <c r="K100" i="12"/>
  <c r="L100" i="12"/>
  <c r="M100" i="12"/>
  <c r="N100" i="12"/>
  <c r="P100" i="12"/>
  <c r="Q100" i="12"/>
  <c r="R100" i="12"/>
  <c r="K101" i="12"/>
  <c r="L101" i="12"/>
  <c r="M101" i="12"/>
  <c r="N101" i="12"/>
  <c r="P101" i="12"/>
  <c r="Q101" i="12"/>
  <c r="R101" i="12"/>
  <c r="K102" i="12"/>
  <c r="L102" i="12"/>
  <c r="M102" i="12"/>
  <c r="N102" i="12"/>
  <c r="P102" i="12"/>
  <c r="Q102" i="12"/>
  <c r="R102" i="12"/>
  <c r="K103" i="12"/>
  <c r="L103" i="12"/>
  <c r="M103" i="12"/>
  <c r="N103" i="12"/>
  <c r="P103" i="12"/>
  <c r="Q103" i="12"/>
  <c r="R103" i="12"/>
  <c r="K104" i="12"/>
  <c r="L104" i="12"/>
  <c r="M104" i="12"/>
  <c r="N104" i="12"/>
  <c r="P104" i="12"/>
  <c r="Q104" i="12"/>
  <c r="R104" i="12"/>
  <c r="K105" i="12"/>
  <c r="L105" i="12"/>
  <c r="M105" i="12"/>
  <c r="N105" i="12"/>
  <c r="P105" i="12"/>
  <c r="Q105" i="12"/>
  <c r="R105" i="12"/>
  <c r="K106" i="12"/>
  <c r="L106" i="12"/>
  <c r="M106" i="12"/>
  <c r="N106" i="12"/>
  <c r="P106" i="12"/>
  <c r="Q106" i="12"/>
  <c r="R106" i="12"/>
  <c r="K107" i="12"/>
  <c r="L107" i="12"/>
  <c r="M107" i="12"/>
  <c r="N107" i="12"/>
  <c r="P107" i="12"/>
  <c r="Q107" i="12"/>
  <c r="R107" i="12"/>
  <c r="K108" i="12"/>
  <c r="L108" i="12"/>
  <c r="M108" i="12"/>
  <c r="N108" i="12"/>
  <c r="P108" i="12"/>
  <c r="Q108" i="12"/>
  <c r="R108" i="12"/>
  <c r="K109" i="12"/>
  <c r="L109" i="12"/>
  <c r="M109" i="12"/>
  <c r="N109" i="12"/>
  <c r="P109" i="12"/>
  <c r="Q109" i="12"/>
  <c r="R109" i="12"/>
  <c r="K4" i="1"/>
  <c r="L4" i="1"/>
  <c r="M4" i="1"/>
  <c r="N4" i="1"/>
  <c r="P4" i="1"/>
  <c r="T4" i="1" s="1"/>
  <c r="Q4" i="1"/>
  <c r="R4" i="1"/>
  <c r="K5" i="1"/>
  <c r="L5" i="1"/>
  <c r="M5" i="1"/>
  <c r="N5" i="1"/>
  <c r="P5" i="1"/>
  <c r="T5" i="1" s="1"/>
  <c r="Q5" i="1"/>
  <c r="R5" i="1"/>
  <c r="K6" i="1"/>
  <c r="L6" i="1"/>
  <c r="M6" i="1"/>
  <c r="N6" i="1"/>
  <c r="P6" i="1"/>
  <c r="T6" i="1" s="1"/>
  <c r="Q6" i="1"/>
  <c r="R6" i="1"/>
  <c r="K7" i="1"/>
  <c r="L7" i="1"/>
  <c r="M7" i="1"/>
  <c r="N7" i="1"/>
  <c r="P7" i="1"/>
  <c r="T7" i="1" s="1"/>
  <c r="Q7" i="1"/>
  <c r="R7" i="1"/>
  <c r="K8" i="1"/>
  <c r="L8" i="1"/>
  <c r="M8" i="1"/>
  <c r="N8" i="1"/>
  <c r="P8" i="1"/>
  <c r="T8" i="1" s="1"/>
  <c r="Q8" i="1"/>
  <c r="R8" i="1"/>
  <c r="K9" i="1"/>
  <c r="L9" i="1"/>
  <c r="M9" i="1"/>
  <c r="N9" i="1"/>
  <c r="P9" i="1"/>
  <c r="T9" i="1" s="1"/>
  <c r="Q9" i="1"/>
  <c r="R9" i="1"/>
  <c r="K10" i="1"/>
  <c r="L10" i="1"/>
  <c r="M10" i="1"/>
  <c r="N10" i="1"/>
  <c r="P10" i="1"/>
  <c r="T10" i="1" s="1"/>
  <c r="Q10" i="1"/>
  <c r="R10" i="1"/>
  <c r="K11" i="1"/>
  <c r="L11" i="1"/>
  <c r="M11" i="1"/>
  <c r="N11" i="1"/>
  <c r="P11" i="1"/>
  <c r="T11" i="1" s="1"/>
  <c r="Q11" i="1"/>
  <c r="R11" i="1"/>
  <c r="K12" i="1"/>
  <c r="L12" i="1"/>
  <c r="M12" i="1"/>
  <c r="N12" i="1"/>
  <c r="P12" i="1"/>
  <c r="T12" i="1" s="1"/>
  <c r="Q12" i="1"/>
  <c r="R12" i="1"/>
  <c r="K13" i="1"/>
  <c r="L13" i="1"/>
  <c r="M13" i="1"/>
  <c r="N13" i="1"/>
  <c r="P13" i="1"/>
  <c r="T13" i="1" s="1"/>
  <c r="Q13" i="1"/>
  <c r="R13" i="1"/>
  <c r="K14" i="1"/>
  <c r="L14" i="1"/>
  <c r="M14" i="1"/>
  <c r="N14" i="1"/>
  <c r="P14" i="1"/>
  <c r="T14" i="1" s="1"/>
  <c r="Q14" i="1"/>
  <c r="R14" i="1"/>
  <c r="K15" i="1"/>
  <c r="L15" i="1"/>
  <c r="M15" i="1"/>
  <c r="N15" i="1"/>
  <c r="P15" i="1"/>
  <c r="T15" i="1" s="1"/>
  <c r="Q15" i="1"/>
  <c r="R15" i="1"/>
  <c r="K16" i="1"/>
  <c r="L16" i="1"/>
  <c r="M16" i="1"/>
  <c r="N16" i="1"/>
  <c r="P16" i="1"/>
  <c r="T16" i="1" s="1"/>
  <c r="Q16" i="1"/>
  <c r="R16" i="1"/>
  <c r="K17" i="1"/>
  <c r="L17" i="1"/>
  <c r="M17" i="1"/>
  <c r="N17" i="1"/>
  <c r="P17" i="1"/>
  <c r="T17" i="1" s="1"/>
  <c r="Q17" i="1"/>
  <c r="R17" i="1"/>
  <c r="K18" i="1"/>
  <c r="L18" i="1"/>
  <c r="M18" i="1"/>
  <c r="N18" i="1"/>
  <c r="P18" i="1"/>
  <c r="T18" i="1" s="1"/>
  <c r="Q18" i="1"/>
  <c r="R18" i="1"/>
  <c r="K19" i="1"/>
  <c r="L19" i="1"/>
  <c r="M19" i="1"/>
  <c r="N19" i="1"/>
  <c r="P19" i="1"/>
  <c r="T19" i="1" s="1"/>
  <c r="Q19" i="1"/>
  <c r="R19" i="1"/>
  <c r="K20" i="1"/>
  <c r="L20" i="1"/>
  <c r="M20" i="1"/>
  <c r="N20" i="1"/>
  <c r="P20" i="1"/>
  <c r="T20" i="1" s="1"/>
  <c r="Q20" i="1"/>
  <c r="R20" i="1"/>
  <c r="K21" i="1"/>
  <c r="L21" i="1"/>
  <c r="N21" i="1"/>
  <c r="P21" i="1"/>
  <c r="T21" i="1" s="1"/>
  <c r="Q21" i="1"/>
  <c r="R21" i="1"/>
  <c r="K22" i="1"/>
  <c r="L22" i="1"/>
  <c r="M22" i="1"/>
  <c r="N22" i="1"/>
  <c r="P22" i="1"/>
  <c r="T22" i="1" s="1"/>
  <c r="Q22" i="1"/>
  <c r="R22" i="1"/>
  <c r="K23" i="1"/>
  <c r="L23" i="1"/>
  <c r="M23" i="1"/>
  <c r="N23" i="1"/>
  <c r="P23" i="1"/>
  <c r="T23" i="1" s="1"/>
  <c r="Q23" i="1"/>
  <c r="R23" i="1"/>
  <c r="K24" i="1"/>
  <c r="L24" i="1"/>
  <c r="M24" i="1"/>
  <c r="N24" i="1"/>
  <c r="P24" i="1"/>
  <c r="T24" i="1" s="1"/>
  <c r="Q24" i="1"/>
  <c r="R24" i="1"/>
  <c r="K25" i="1"/>
  <c r="L25" i="1"/>
  <c r="M25" i="1"/>
  <c r="N25" i="1"/>
  <c r="P25" i="1"/>
  <c r="T25" i="1" s="1"/>
  <c r="Q25" i="1"/>
  <c r="R25" i="1"/>
  <c r="K26" i="1"/>
  <c r="L26" i="1"/>
  <c r="M26" i="1"/>
  <c r="N26" i="1"/>
  <c r="P26" i="1"/>
  <c r="T26" i="1" s="1"/>
  <c r="Q26" i="1"/>
  <c r="K27" i="1"/>
  <c r="L27" i="1"/>
  <c r="M27" i="1"/>
  <c r="N27" i="1"/>
  <c r="P27" i="1"/>
  <c r="T27" i="1" s="1"/>
  <c r="Q27" i="1"/>
  <c r="R27" i="1"/>
  <c r="K28" i="1"/>
  <c r="L28" i="1"/>
  <c r="M28" i="1"/>
  <c r="N28" i="1"/>
  <c r="P28" i="1"/>
  <c r="T28" i="1" s="1"/>
  <c r="Q28" i="1"/>
  <c r="R28" i="1"/>
  <c r="K29" i="1"/>
  <c r="L29" i="1"/>
  <c r="M29" i="1"/>
  <c r="N29" i="1"/>
  <c r="P29" i="1"/>
  <c r="T29" i="1" s="1"/>
  <c r="Q29" i="1"/>
  <c r="R29" i="1"/>
  <c r="K30" i="1"/>
  <c r="L30" i="1"/>
  <c r="M30" i="1"/>
  <c r="N30" i="1"/>
  <c r="P30" i="1"/>
  <c r="T30" i="1" s="1"/>
  <c r="Q30" i="1"/>
  <c r="R30" i="1"/>
  <c r="K31" i="1"/>
  <c r="L31" i="1"/>
  <c r="M31" i="1"/>
  <c r="N31" i="1"/>
  <c r="P31" i="1"/>
  <c r="T31" i="1" s="1"/>
  <c r="Q31" i="1"/>
  <c r="R31" i="1"/>
  <c r="K32" i="1"/>
  <c r="L32" i="1"/>
  <c r="N32" i="1"/>
  <c r="P32" i="1"/>
  <c r="T32" i="1" s="1"/>
  <c r="Q32" i="1"/>
  <c r="K33" i="1"/>
  <c r="L33" i="1"/>
  <c r="M33" i="1"/>
  <c r="N33" i="1"/>
  <c r="P33" i="1"/>
  <c r="T33" i="1" s="1"/>
  <c r="Q33" i="1"/>
  <c r="K34" i="1"/>
  <c r="L34" i="1"/>
  <c r="M34" i="1"/>
  <c r="N34" i="1"/>
  <c r="P34" i="1"/>
  <c r="T34" i="1" s="1"/>
  <c r="Q34" i="1"/>
  <c r="K35" i="1"/>
  <c r="L35" i="1"/>
  <c r="M35" i="1"/>
  <c r="N35" i="1"/>
  <c r="P35" i="1"/>
  <c r="T35" i="1" s="1"/>
  <c r="Q35" i="1"/>
  <c r="R35" i="1"/>
  <c r="K36" i="1"/>
  <c r="L36" i="1"/>
  <c r="M36" i="1"/>
  <c r="N36" i="1"/>
  <c r="P36" i="1"/>
  <c r="T36" i="1" s="1"/>
  <c r="Q36" i="1"/>
  <c r="R36" i="1"/>
  <c r="K37" i="1"/>
  <c r="L37" i="1"/>
  <c r="N37" i="1"/>
  <c r="P37" i="1"/>
  <c r="T37" i="1" s="1"/>
  <c r="Q37" i="1"/>
  <c r="R37" i="1"/>
  <c r="K38" i="1"/>
  <c r="L38" i="1"/>
  <c r="M38" i="1"/>
  <c r="N38" i="1"/>
  <c r="P38" i="1"/>
  <c r="T38" i="1" s="1"/>
  <c r="Q38" i="1"/>
  <c r="R38" i="1"/>
  <c r="K39" i="1"/>
  <c r="L39" i="1"/>
  <c r="M39" i="1"/>
  <c r="N39" i="1"/>
  <c r="P39" i="1"/>
  <c r="T39" i="1" s="1"/>
  <c r="Q39" i="1"/>
  <c r="R39" i="1"/>
  <c r="K40" i="1"/>
  <c r="L40" i="1"/>
  <c r="M40" i="1"/>
  <c r="N40" i="1"/>
  <c r="P40" i="1"/>
  <c r="T40" i="1" s="1"/>
  <c r="Q40" i="1"/>
  <c r="R40" i="1"/>
  <c r="K41" i="1"/>
  <c r="L41" i="1"/>
  <c r="M41" i="1"/>
  <c r="N41" i="1"/>
  <c r="P41" i="1"/>
  <c r="T41" i="1" s="1"/>
  <c r="Q41" i="1"/>
  <c r="R41" i="1"/>
  <c r="K42" i="1"/>
  <c r="L42" i="1"/>
  <c r="M42" i="1"/>
  <c r="N42" i="1"/>
  <c r="P42" i="1"/>
  <c r="T42" i="1" s="1"/>
  <c r="Q42" i="1"/>
  <c r="R42" i="1"/>
  <c r="K43" i="1"/>
  <c r="L43" i="1"/>
  <c r="M43" i="1"/>
  <c r="N43" i="1"/>
  <c r="P43" i="1"/>
  <c r="T43" i="1" s="1"/>
  <c r="Q43" i="1"/>
  <c r="R43" i="1"/>
  <c r="K44" i="1"/>
  <c r="L44" i="1"/>
  <c r="M44" i="1"/>
  <c r="N44" i="1"/>
  <c r="P44" i="1"/>
  <c r="T44" i="1" s="1"/>
  <c r="Q44" i="1"/>
  <c r="R44" i="1"/>
  <c r="K45" i="1"/>
  <c r="L45" i="1"/>
  <c r="M45" i="1"/>
  <c r="N45" i="1"/>
  <c r="P45" i="1"/>
  <c r="T45" i="1" s="1"/>
  <c r="Q45" i="1"/>
  <c r="K46" i="1"/>
  <c r="L46" i="1"/>
  <c r="M46" i="1"/>
  <c r="N46" i="1"/>
  <c r="P46" i="1"/>
  <c r="T46" i="1" s="1"/>
  <c r="Q46" i="1"/>
  <c r="R46" i="1"/>
  <c r="K47" i="1"/>
  <c r="L47" i="1"/>
  <c r="M47" i="1"/>
  <c r="N47" i="1"/>
  <c r="P47" i="1"/>
  <c r="T47" i="1" s="1"/>
  <c r="Q47" i="1"/>
  <c r="R47" i="1"/>
  <c r="K48" i="1"/>
  <c r="L48" i="1"/>
  <c r="M48" i="1"/>
  <c r="N48" i="1"/>
  <c r="P48" i="1"/>
  <c r="T48" i="1" s="1"/>
  <c r="Q48" i="1"/>
  <c r="R48" i="1"/>
  <c r="K49" i="1"/>
  <c r="L49" i="1"/>
  <c r="M49" i="1"/>
  <c r="N49" i="1"/>
  <c r="P49" i="1"/>
  <c r="T49" i="1" s="1"/>
  <c r="Q49" i="1"/>
  <c r="R49" i="1"/>
  <c r="K50" i="1"/>
  <c r="L50" i="1"/>
  <c r="M50" i="1"/>
  <c r="N50" i="1"/>
  <c r="P50" i="1"/>
  <c r="T50" i="1" s="1"/>
  <c r="Q50" i="1"/>
  <c r="R50" i="1"/>
  <c r="K51" i="1"/>
  <c r="L51" i="1"/>
  <c r="M51" i="1"/>
  <c r="N51" i="1"/>
  <c r="P51" i="1"/>
  <c r="T51" i="1" s="1"/>
  <c r="Q51" i="1"/>
  <c r="R51" i="1"/>
  <c r="K52" i="1"/>
  <c r="L52" i="1"/>
  <c r="M52" i="1"/>
  <c r="N52" i="1"/>
  <c r="P52" i="1"/>
  <c r="T52" i="1" s="1"/>
  <c r="Q52" i="1"/>
  <c r="R52" i="1"/>
  <c r="K53" i="1"/>
  <c r="L53" i="1"/>
  <c r="M53" i="1"/>
  <c r="N53" i="1"/>
  <c r="P53" i="1"/>
  <c r="T53" i="1" s="1"/>
  <c r="Q53" i="1"/>
  <c r="R53" i="1"/>
  <c r="K54" i="1"/>
  <c r="L54" i="1"/>
  <c r="M54" i="1"/>
  <c r="N54" i="1"/>
  <c r="P54" i="1"/>
  <c r="T54" i="1" s="1"/>
  <c r="Q54" i="1"/>
  <c r="R54" i="1"/>
  <c r="K55" i="1"/>
  <c r="L55" i="1"/>
  <c r="M55" i="1"/>
  <c r="N55" i="1"/>
  <c r="P55" i="1"/>
  <c r="T55" i="1" s="1"/>
  <c r="Q55" i="1"/>
  <c r="R55" i="1"/>
  <c r="K56" i="1"/>
  <c r="L56" i="1"/>
  <c r="M56" i="1"/>
  <c r="N56" i="1"/>
  <c r="P56" i="1"/>
  <c r="T56" i="1" s="1"/>
  <c r="Q56" i="1"/>
  <c r="R56" i="1"/>
  <c r="K57" i="1"/>
  <c r="L57" i="1"/>
  <c r="M57" i="1"/>
  <c r="N57" i="1"/>
  <c r="P57" i="1"/>
  <c r="T57" i="1" s="1"/>
  <c r="Q57" i="1"/>
  <c r="R57" i="1"/>
  <c r="K58" i="1"/>
  <c r="L58" i="1"/>
  <c r="M58" i="1"/>
  <c r="N58" i="1"/>
  <c r="P58" i="1"/>
  <c r="T58" i="1" s="1"/>
  <c r="Q58" i="1"/>
  <c r="R58" i="1"/>
  <c r="K59" i="1"/>
  <c r="L59" i="1"/>
  <c r="M59" i="1"/>
  <c r="N59" i="1"/>
  <c r="P59" i="1"/>
  <c r="T59" i="1" s="1"/>
  <c r="Q59" i="1"/>
  <c r="R59" i="1"/>
  <c r="K60" i="1"/>
  <c r="L60" i="1"/>
  <c r="M60" i="1"/>
  <c r="N60" i="1"/>
  <c r="P60" i="1"/>
  <c r="T60" i="1" s="1"/>
  <c r="Q60" i="1"/>
  <c r="R60" i="1"/>
  <c r="K61" i="1"/>
  <c r="L61" i="1"/>
  <c r="M61" i="1"/>
  <c r="N61" i="1"/>
  <c r="P61" i="1"/>
  <c r="T61" i="1" s="1"/>
  <c r="Q61" i="1"/>
  <c r="R61" i="1"/>
  <c r="K62" i="1"/>
  <c r="L62" i="1"/>
  <c r="M62" i="1"/>
  <c r="N62" i="1"/>
  <c r="P62" i="1"/>
  <c r="T62" i="1" s="1"/>
  <c r="Q62" i="1"/>
  <c r="R62" i="1"/>
  <c r="K63" i="1"/>
  <c r="L63" i="1"/>
  <c r="M63" i="1"/>
  <c r="N63" i="1"/>
  <c r="P63" i="1"/>
  <c r="T63" i="1" s="1"/>
  <c r="Q63" i="1"/>
  <c r="R63" i="1"/>
  <c r="K64" i="1"/>
  <c r="L64" i="1"/>
  <c r="M64" i="1"/>
  <c r="N64" i="1"/>
  <c r="P64" i="1"/>
  <c r="T64" i="1" s="1"/>
  <c r="Q64" i="1"/>
  <c r="R64" i="1"/>
  <c r="K65" i="1"/>
  <c r="L65" i="1"/>
  <c r="M65" i="1"/>
  <c r="N65" i="1"/>
  <c r="P65" i="1"/>
  <c r="T65" i="1" s="1"/>
  <c r="Q65" i="1"/>
  <c r="R65" i="1"/>
  <c r="K66" i="1"/>
  <c r="L66" i="1"/>
  <c r="M66" i="1"/>
  <c r="N66" i="1"/>
  <c r="P66" i="1"/>
  <c r="T66" i="1" s="1"/>
  <c r="Q66" i="1"/>
  <c r="R66" i="1"/>
  <c r="K67" i="1"/>
  <c r="L67" i="1"/>
  <c r="M67" i="1"/>
  <c r="N67" i="1"/>
  <c r="P67" i="1"/>
  <c r="T67" i="1" s="1"/>
  <c r="Q67" i="1"/>
  <c r="R67" i="1"/>
  <c r="K68" i="1"/>
  <c r="L68" i="1"/>
  <c r="M68" i="1"/>
  <c r="N68" i="1"/>
  <c r="P68" i="1"/>
  <c r="T68" i="1" s="1"/>
  <c r="Q68" i="1"/>
  <c r="R68" i="1"/>
  <c r="K69" i="1"/>
  <c r="L69" i="1"/>
  <c r="M69" i="1"/>
  <c r="N69" i="1"/>
  <c r="P69" i="1"/>
  <c r="T69" i="1" s="1"/>
  <c r="Q69" i="1"/>
  <c r="R69" i="1"/>
  <c r="K70" i="1"/>
  <c r="L70" i="1"/>
  <c r="M70" i="1"/>
  <c r="N70" i="1"/>
  <c r="P70" i="1"/>
  <c r="T70" i="1" s="1"/>
  <c r="Q70" i="1"/>
  <c r="R70" i="1"/>
  <c r="K71" i="1"/>
  <c r="L71" i="1"/>
  <c r="M71" i="1"/>
  <c r="N71" i="1"/>
  <c r="P71" i="1"/>
  <c r="T71" i="1" s="1"/>
  <c r="Q71" i="1"/>
  <c r="R71" i="1"/>
  <c r="K72" i="1"/>
  <c r="L72" i="1"/>
  <c r="M72" i="1"/>
  <c r="N72" i="1"/>
  <c r="P72" i="1"/>
  <c r="T72" i="1" s="1"/>
  <c r="Q72" i="1"/>
  <c r="R72" i="1"/>
  <c r="K73" i="1"/>
  <c r="L73" i="1"/>
  <c r="M73" i="1"/>
  <c r="N73" i="1"/>
  <c r="P73" i="1"/>
  <c r="T73" i="1" s="1"/>
  <c r="Q73" i="1"/>
  <c r="R73" i="1"/>
  <c r="K74" i="1"/>
  <c r="L74" i="1"/>
  <c r="M74" i="1"/>
  <c r="N74" i="1"/>
  <c r="P74" i="1"/>
  <c r="T74" i="1" s="1"/>
  <c r="Q74" i="1"/>
  <c r="R74" i="1"/>
  <c r="K75" i="1"/>
  <c r="L75" i="1"/>
  <c r="M75" i="1"/>
  <c r="N75" i="1"/>
  <c r="P75" i="1"/>
  <c r="T75" i="1" s="1"/>
  <c r="Q75" i="1"/>
  <c r="R75" i="1"/>
  <c r="K76" i="1"/>
  <c r="L76" i="1"/>
  <c r="M76" i="1"/>
  <c r="N76" i="1"/>
  <c r="P76" i="1"/>
  <c r="T76" i="1" s="1"/>
  <c r="Q76" i="1"/>
  <c r="R76" i="1"/>
  <c r="K77" i="1"/>
  <c r="L77" i="1"/>
  <c r="M77" i="1"/>
  <c r="N77" i="1"/>
  <c r="P77" i="1"/>
  <c r="T77" i="1" s="1"/>
  <c r="Q77" i="1"/>
  <c r="R77" i="1"/>
  <c r="K78" i="1"/>
  <c r="L78" i="1"/>
  <c r="M78" i="1"/>
  <c r="N78" i="1"/>
  <c r="P78" i="1"/>
  <c r="T78" i="1" s="1"/>
  <c r="Q78" i="1"/>
  <c r="R78" i="1"/>
  <c r="K79" i="1"/>
  <c r="L79" i="1"/>
  <c r="M79" i="1"/>
  <c r="N79" i="1"/>
  <c r="P79" i="1"/>
  <c r="T79" i="1" s="1"/>
  <c r="Q79" i="1"/>
  <c r="R79" i="1"/>
  <c r="K80" i="1"/>
  <c r="L80" i="1"/>
  <c r="M80" i="1"/>
  <c r="N80" i="1"/>
  <c r="P80" i="1"/>
  <c r="T80" i="1" s="1"/>
  <c r="Q80" i="1"/>
  <c r="R80" i="1"/>
  <c r="K81" i="1"/>
  <c r="L81" i="1"/>
  <c r="M81" i="1"/>
  <c r="N81" i="1"/>
  <c r="P81" i="1"/>
  <c r="T81" i="1" s="1"/>
  <c r="Q81" i="1"/>
  <c r="R81" i="1"/>
  <c r="K82" i="1"/>
  <c r="L82" i="1"/>
  <c r="M82" i="1"/>
  <c r="N82" i="1"/>
  <c r="P82" i="1"/>
  <c r="T82" i="1" s="1"/>
  <c r="Q82" i="1"/>
  <c r="R82" i="1"/>
  <c r="K83" i="1"/>
  <c r="L83" i="1"/>
  <c r="M83" i="1"/>
  <c r="N83" i="1"/>
  <c r="P83" i="1"/>
  <c r="T83" i="1" s="1"/>
  <c r="Q83" i="1"/>
  <c r="R83" i="1"/>
  <c r="K84" i="1"/>
  <c r="L84" i="1"/>
  <c r="M84" i="1"/>
  <c r="N84" i="1"/>
  <c r="P84" i="1"/>
  <c r="T84" i="1" s="1"/>
  <c r="Q84" i="1"/>
  <c r="R84" i="1"/>
  <c r="K85" i="1"/>
  <c r="L85" i="1"/>
  <c r="M85" i="1"/>
  <c r="N85" i="1"/>
  <c r="P85" i="1"/>
  <c r="T85" i="1" s="1"/>
  <c r="Q85" i="1"/>
  <c r="R85" i="1"/>
  <c r="K86" i="1"/>
  <c r="L86" i="1"/>
  <c r="M86" i="1"/>
  <c r="N86" i="1"/>
  <c r="P86" i="1"/>
  <c r="T86" i="1" s="1"/>
  <c r="Q86" i="1"/>
  <c r="R86" i="1"/>
  <c r="K87" i="1"/>
  <c r="L87" i="1"/>
  <c r="M87" i="1"/>
  <c r="N87" i="1"/>
  <c r="P87" i="1"/>
  <c r="T87" i="1" s="1"/>
  <c r="Q87" i="1"/>
  <c r="R87" i="1"/>
  <c r="K88" i="1"/>
  <c r="L88" i="1"/>
  <c r="M88" i="1"/>
  <c r="N88" i="1"/>
  <c r="P88" i="1"/>
  <c r="T88" i="1" s="1"/>
  <c r="Q88" i="1"/>
  <c r="R88" i="1"/>
  <c r="K89" i="1"/>
  <c r="L89" i="1"/>
  <c r="M89" i="1"/>
  <c r="N89" i="1"/>
  <c r="P89" i="1"/>
  <c r="T89" i="1" s="1"/>
  <c r="Q89" i="1"/>
  <c r="R89" i="1"/>
  <c r="K90" i="1"/>
  <c r="L90" i="1"/>
  <c r="M90" i="1"/>
  <c r="N90" i="1"/>
  <c r="P90" i="1"/>
  <c r="T90" i="1" s="1"/>
  <c r="Q90" i="1"/>
  <c r="R90" i="1"/>
  <c r="K91" i="1"/>
  <c r="L91" i="1"/>
  <c r="M91" i="1"/>
  <c r="N91" i="1"/>
  <c r="P91" i="1"/>
  <c r="T91" i="1" s="1"/>
  <c r="Q91" i="1"/>
  <c r="R91" i="1"/>
  <c r="K92" i="1"/>
  <c r="L92" i="1"/>
  <c r="M92" i="1"/>
  <c r="N92" i="1"/>
  <c r="P92" i="1"/>
  <c r="T92" i="1" s="1"/>
  <c r="Q92" i="1"/>
  <c r="R92" i="1"/>
  <c r="K93" i="1"/>
  <c r="L93" i="1"/>
  <c r="M93" i="1"/>
  <c r="N93" i="1"/>
  <c r="P93" i="1"/>
  <c r="T93" i="1" s="1"/>
  <c r="Q93" i="1"/>
  <c r="R93" i="1"/>
  <c r="K94" i="1"/>
  <c r="L94" i="1"/>
  <c r="M94" i="1"/>
  <c r="N94" i="1"/>
  <c r="P94" i="1"/>
  <c r="T94" i="1" s="1"/>
  <c r="Q94" i="1"/>
  <c r="R94" i="1"/>
  <c r="K95" i="1"/>
  <c r="L95" i="1"/>
  <c r="M95" i="1"/>
  <c r="N95" i="1"/>
  <c r="P95" i="1"/>
  <c r="T95" i="1" s="1"/>
  <c r="Q95" i="1"/>
  <c r="R95" i="1"/>
  <c r="K96" i="1"/>
  <c r="L96" i="1"/>
  <c r="M96" i="1"/>
  <c r="N96" i="1"/>
  <c r="P96" i="1"/>
  <c r="Q96" i="1"/>
  <c r="R96" i="1"/>
  <c r="N97" i="1"/>
  <c r="P97" i="1"/>
  <c r="Q97" i="1"/>
  <c r="R97" i="1"/>
  <c r="K98" i="1"/>
  <c r="L98" i="1"/>
  <c r="M98" i="1"/>
  <c r="N98" i="1"/>
  <c r="P98" i="1"/>
  <c r="Q98" i="1"/>
  <c r="R98" i="1"/>
  <c r="K99" i="1"/>
  <c r="L99" i="1"/>
  <c r="M99" i="1"/>
  <c r="N99" i="1"/>
  <c r="P99" i="1"/>
  <c r="Q99" i="1"/>
  <c r="R99" i="1"/>
  <c r="K100" i="1"/>
  <c r="L100" i="1"/>
  <c r="M100" i="1"/>
  <c r="N100" i="1"/>
  <c r="P100" i="1"/>
  <c r="Q100" i="1"/>
  <c r="R100" i="1"/>
  <c r="K101" i="1"/>
  <c r="L101" i="1"/>
  <c r="M101" i="1"/>
  <c r="N101" i="1"/>
  <c r="P101" i="1"/>
  <c r="Q101" i="1"/>
  <c r="R101" i="1"/>
  <c r="K102" i="1"/>
  <c r="L102" i="1"/>
  <c r="M102" i="1"/>
  <c r="N102" i="1"/>
  <c r="P102" i="1"/>
  <c r="Q102" i="1"/>
  <c r="R102" i="1"/>
  <c r="K103" i="1"/>
  <c r="L103" i="1"/>
  <c r="M103" i="1"/>
  <c r="N103" i="1"/>
  <c r="P103" i="1"/>
  <c r="Q103" i="1"/>
  <c r="R103" i="1"/>
  <c r="K104" i="1"/>
  <c r="L104" i="1"/>
  <c r="M104" i="1"/>
  <c r="N104" i="1"/>
  <c r="P104" i="1"/>
  <c r="Q104" i="1"/>
  <c r="R104" i="1"/>
  <c r="K105" i="1"/>
  <c r="L105" i="1"/>
  <c r="M105" i="1"/>
  <c r="N105" i="1"/>
  <c r="P105" i="1"/>
  <c r="Q105" i="1"/>
  <c r="R105" i="1"/>
  <c r="K106" i="1"/>
  <c r="L106" i="1"/>
  <c r="M106" i="1"/>
  <c r="N106" i="1"/>
  <c r="P106" i="1"/>
  <c r="Q106" i="1"/>
  <c r="R106" i="1"/>
  <c r="K107" i="1"/>
  <c r="L107" i="1"/>
  <c r="M107" i="1"/>
  <c r="N107" i="1"/>
  <c r="P107" i="1"/>
  <c r="Q107" i="1"/>
  <c r="R107" i="1"/>
  <c r="K108" i="1"/>
  <c r="L108" i="1"/>
  <c r="M108" i="1"/>
  <c r="N108" i="1"/>
  <c r="P108" i="1"/>
  <c r="Q108" i="1"/>
  <c r="R108" i="1"/>
  <c r="Q3" i="5"/>
  <c r="P3" i="5"/>
  <c r="T3" i="5" s="1"/>
  <c r="N3" i="5"/>
  <c r="M3" i="5"/>
  <c r="L3" i="5"/>
  <c r="K3" i="5"/>
  <c r="R3" i="6"/>
  <c r="Q3" i="6"/>
  <c r="B9" i="16" s="1"/>
  <c r="P3" i="6"/>
  <c r="T3" i="6" s="1"/>
  <c r="N3" i="6"/>
  <c r="M3" i="6"/>
  <c r="L3" i="6"/>
  <c r="K3" i="6"/>
  <c r="R3" i="7"/>
  <c r="Q3" i="7"/>
  <c r="B5" i="16" s="1"/>
  <c r="P3" i="7"/>
  <c r="T3" i="7" s="1"/>
  <c r="N3" i="7"/>
  <c r="M3" i="7"/>
  <c r="L3" i="7"/>
  <c r="K3" i="7"/>
  <c r="R3" i="8"/>
  <c r="Q3" i="8"/>
  <c r="P3" i="8"/>
  <c r="T3" i="8" s="1"/>
  <c r="N3" i="8"/>
  <c r="M3" i="8"/>
  <c r="L3" i="8"/>
  <c r="K3" i="8"/>
  <c r="R3" i="9"/>
  <c r="Q3" i="9"/>
  <c r="B11" i="16" s="1"/>
  <c r="P3" i="9"/>
  <c r="T3" i="9" s="1"/>
  <c r="N3" i="9"/>
  <c r="L3" i="9"/>
  <c r="K3" i="9"/>
  <c r="Q3" i="10"/>
  <c r="B6" i="16" s="1"/>
  <c r="P3" i="10"/>
  <c r="T3" i="10" s="1"/>
  <c r="N3" i="10"/>
  <c r="R3" i="11"/>
  <c r="Q3" i="11"/>
  <c r="P3" i="11"/>
  <c r="T3" i="11" s="1"/>
  <c r="N3" i="11"/>
  <c r="L3" i="11"/>
  <c r="R3" i="12"/>
  <c r="Q3" i="12"/>
  <c r="P3" i="12"/>
  <c r="T3" i="12" s="1"/>
  <c r="N3" i="12"/>
  <c r="R3" i="2"/>
  <c r="Q3" i="2"/>
  <c r="P3" i="2"/>
  <c r="T3" i="2" s="1"/>
  <c r="N3" i="2"/>
  <c r="L3" i="2"/>
  <c r="K3" i="2"/>
  <c r="Q3" i="1"/>
  <c r="P3" i="1"/>
  <c r="T3" i="1" s="1"/>
  <c r="N3" i="1"/>
  <c r="M3" i="1"/>
  <c r="L3" i="1"/>
  <c r="K3" i="1"/>
  <c r="R3" i="1"/>
  <c r="R85" i="2"/>
  <c r="R80" i="11"/>
  <c r="R79" i="2"/>
  <c r="R76" i="11"/>
  <c r="R69" i="2"/>
  <c r="D3" i="13"/>
  <c r="Z4" i="1" l="1"/>
  <c r="F28" i="16" s="1"/>
  <c r="X4" i="1"/>
  <c r="W4" i="1"/>
  <c r="C28" i="16" s="1"/>
  <c r="V4" i="1"/>
  <c r="AD2" i="2"/>
  <c r="C7" i="16" s="1"/>
  <c r="Z4" i="2"/>
  <c r="F31" i="16" s="1"/>
  <c r="X4" i="2"/>
  <c r="W4" i="2"/>
  <c r="C31" i="16" s="1"/>
  <c r="V4" i="2"/>
  <c r="Z4" i="12"/>
  <c r="F27" i="16" s="1"/>
  <c r="X4" i="12"/>
  <c r="W4" i="12"/>
  <c r="C27" i="16" s="1"/>
  <c r="V4" i="12"/>
  <c r="AD2" i="11"/>
  <c r="C8" i="16" s="1"/>
  <c r="Z4" i="11"/>
  <c r="F32" i="16" s="1"/>
  <c r="X4" i="11"/>
  <c r="W4" i="11"/>
  <c r="C32" i="16" s="1"/>
  <c r="V4" i="11"/>
  <c r="AD2" i="10"/>
  <c r="C6" i="16" s="1"/>
  <c r="Z4" i="10"/>
  <c r="F30" i="16" s="1"/>
  <c r="X4" i="10"/>
  <c r="W4" i="10"/>
  <c r="C30" i="16" s="1"/>
  <c r="V4" i="10"/>
  <c r="AD2" i="9"/>
  <c r="C11" i="16" s="1"/>
  <c r="Z4" i="9"/>
  <c r="F35" i="16" s="1"/>
  <c r="X4" i="9"/>
  <c r="W4" i="9"/>
  <c r="C35" i="16" s="1"/>
  <c r="V4" i="9"/>
  <c r="Z4" i="8"/>
  <c r="F34" i="16" s="1"/>
  <c r="X4" i="8"/>
  <c r="W4" i="8"/>
  <c r="C34" i="16" s="1"/>
  <c r="V4" i="8"/>
  <c r="AD2" i="7"/>
  <c r="C5" i="16" s="1"/>
  <c r="Z4" i="7"/>
  <c r="F29" i="16" s="1"/>
  <c r="X4" i="7"/>
  <c r="W4" i="7"/>
  <c r="C29" i="16" s="1"/>
  <c r="V4" i="7"/>
  <c r="AD2" i="6"/>
  <c r="C9" i="16" s="1"/>
  <c r="Z4" i="6"/>
  <c r="F33" i="16" s="1"/>
  <c r="X4" i="6"/>
  <c r="W4" i="6"/>
  <c r="C33" i="16" s="1"/>
  <c r="V4" i="6"/>
  <c r="Z4" i="5"/>
  <c r="F26" i="16" s="1"/>
  <c r="X4" i="5"/>
  <c r="W4" i="5"/>
  <c r="C26" i="16" s="1"/>
  <c r="V4" i="5"/>
  <c r="AD2" i="8"/>
  <c r="C10" i="16" s="1"/>
  <c r="B10" i="16"/>
  <c r="B8" i="16"/>
  <c r="AA2" i="6"/>
  <c r="G21" i="16" s="1"/>
  <c r="Z2" i="6"/>
  <c r="F21" i="16" s="1"/>
  <c r="Y2" i="6"/>
  <c r="E21" i="16" s="1"/>
  <c r="Y2" i="1"/>
  <c r="E16" i="16" s="1"/>
  <c r="AA2" i="1"/>
  <c r="G16" i="16" s="1"/>
  <c r="Z2" i="1"/>
  <c r="F16" i="16" s="1"/>
  <c r="AD2" i="1"/>
  <c r="C4" i="16" s="1"/>
  <c r="AA2" i="12"/>
  <c r="G15" i="16" s="1"/>
  <c r="Z2" i="12"/>
  <c r="F15" i="16" s="1"/>
  <c r="Y2" i="12"/>
  <c r="E15" i="16" s="1"/>
  <c r="AA2" i="9"/>
  <c r="G23" i="16" s="1"/>
  <c r="Z2" i="9"/>
  <c r="F23" i="16" s="1"/>
  <c r="Y2" i="9"/>
  <c r="E23" i="16" s="1"/>
  <c r="AA2" i="7"/>
  <c r="G17" i="16" s="1"/>
  <c r="Z2" i="7"/>
  <c r="F17" i="16" s="1"/>
  <c r="Y2" i="7"/>
  <c r="E17" i="16" s="1"/>
  <c r="Y2" i="10"/>
  <c r="E18" i="16" s="1"/>
  <c r="AA2" i="10"/>
  <c r="G18" i="16" s="1"/>
  <c r="Z2" i="10"/>
  <c r="F18" i="16" s="1"/>
  <c r="Y2" i="8"/>
  <c r="E22" i="16" s="1"/>
  <c r="AA2" i="8"/>
  <c r="G22" i="16" s="1"/>
  <c r="Z2" i="8"/>
  <c r="F22" i="16" s="1"/>
  <c r="Y2" i="5"/>
  <c r="E14" i="16" s="1"/>
  <c r="Z2" i="5"/>
  <c r="F14" i="16" s="1"/>
  <c r="AA2" i="5"/>
  <c r="G14" i="16" s="1"/>
  <c r="B4" i="16"/>
  <c r="B7" i="16"/>
  <c r="AD2" i="12"/>
  <c r="C3" i="16" s="1"/>
  <c r="B3" i="16"/>
  <c r="B2" i="16"/>
  <c r="AD2" i="5"/>
  <c r="C2" i="16" s="1"/>
  <c r="R89" i="11"/>
  <c r="R90" i="2"/>
  <c r="R81" i="2"/>
  <c r="R77" i="2"/>
  <c r="R84" i="11"/>
  <c r="R78" i="11"/>
  <c r="R68" i="11"/>
  <c r="I87" i="12"/>
  <c r="H87" i="12"/>
  <c r="B87" i="12"/>
  <c r="C86" i="12"/>
  <c r="G85" i="12"/>
  <c r="D85" i="12"/>
  <c r="L85" i="12" s="1"/>
  <c r="C84" i="12"/>
  <c r="E83" i="12"/>
  <c r="D83" i="12"/>
  <c r="C83" i="12"/>
  <c r="G82" i="12"/>
  <c r="E82" i="12"/>
  <c r="D82" i="12"/>
  <c r="G81" i="12"/>
  <c r="E81" i="12"/>
  <c r="D81" i="12"/>
  <c r="G80" i="12"/>
  <c r="F80" i="12"/>
  <c r="I78" i="12"/>
  <c r="H78" i="12"/>
  <c r="B78" i="12"/>
  <c r="G77" i="12"/>
  <c r="E77" i="12"/>
  <c r="D77" i="12"/>
  <c r="E76" i="12"/>
  <c r="D76" i="12"/>
  <c r="L76" i="12" s="1"/>
  <c r="C76" i="12"/>
  <c r="E75" i="12"/>
  <c r="D75" i="12"/>
  <c r="L75" i="12" s="1"/>
  <c r="C75" i="12"/>
  <c r="C74" i="12"/>
  <c r="G74" i="12" s="1"/>
  <c r="C73" i="12"/>
  <c r="G72" i="12"/>
  <c r="D72" i="12"/>
  <c r="G71" i="12"/>
  <c r="E71" i="12"/>
  <c r="D71" i="12"/>
  <c r="G70" i="12"/>
  <c r="E70" i="12"/>
  <c r="G69" i="12"/>
  <c r="E69" i="12"/>
  <c r="G68" i="12"/>
  <c r="E68" i="12"/>
  <c r="I66" i="12"/>
  <c r="H66" i="12"/>
  <c r="B66" i="12"/>
  <c r="G65" i="12"/>
  <c r="E65" i="12"/>
  <c r="D65" i="12"/>
  <c r="E64" i="12"/>
  <c r="D64" i="12"/>
  <c r="L64" i="12" s="1"/>
  <c r="C64" i="12"/>
  <c r="C63" i="12"/>
  <c r="E62" i="12"/>
  <c r="D62" i="12"/>
  <c r="C62" i="12"/>
  <c r="E61" i="12"/>
  <c r="D61" i="12"/>
  <c r="C61" i="12"/>
  <c r="C60" i="12"/>
  <c r="G59" i="12"/>
  <c r="E59" i="12"/>
  <c r="D59" i="12"/>
  <c r="C58" i="12"/>
  <c r="G57" i="12"/>
  <c r="D57" i="12"/>
  <c r="F57" i="12" s="1"/>
  <c r="E56" i="12"/>
  <c r="D56" i="12"/>
  <c r="C56" i="12"/>
  <c r="I54" i="12"/>
  <c r="H54" i="12"/>
  <c r="B54" i="12"/>
  <c r="C53" i="12"/>
  <c r="G53" i="12" s="1"/>
  <c r="E52" i="12"/>
  <c r="D52" i="12"/>
  <c r="L52" i="12" s="1"/>
  <c r="C52" i="12"/>
  <c r="G51" i="12"/>
  <c r="D51" i="12"/>
  <c r="F51" i="12" s="1"/>
  <c r="E50" i="12"/>
  <c r="D50" i="12"/>
  <c r="C50" i="12"/>
  <c r="G49" i="12"/>
  <c r="D49" i="12"/>
  <c r="G48" i="12"/>
  <c r="E48" i="12"/>
  <c r="D48" i="12"/>
  <c r="E47" i="12"/>
  <c r="D47" i="12"/>
  <c r="C47" i="12"/>
  <c r="E46" i="12"/>
  <c r="D46" i="12"/>
  <c r="C46" i="12"/>
  <c r="G45" i="12"/>
  <c r="D45" i="12"/>
  <c r="F45" i="12" s="1"/>
  <c r="I42" i="12"/>
  <c r="H42" i="12"/>
  <c r="B42" i="12"/>
  <c r="G41" i="12"/>
  <c r="E41" i="12"/>
  <c r="C40" i="12"/>
  <c r="G39" i="12"/>
  <c r="D39" i="12"/>
  <c r="C38" i="12"/>
  <c r="G37" i="12"/>
  <c r="E37" i="12"/>
  <c r="E42" i="12" s="1"/>
  <c r="D37" i="12"/>
  <c r="C36" i="12"/>
  <c r="G35" i="12"/>
  <c r="F35" i="12"/>
  <c r="G34" i="12"/>
  <c r="D34" i="12"/>
  <c r="I32" i="12"/>
  <c r="H32" i="12"/>
  <c r="B32" i="12"/>
  <c r="G31" i="12"/>
  <c r="F31" i="12"/>
  <c r="M31" i="12" s="1"/>
  <c r="G30" i="12"/>
  <c r="F30" i="12"/>
  <c r="M30" i="12" s="1"/>
  <c r="G29" i="12"/>
  <c r="D29" i="12"/>
  <c r="G28" i="12"/>
  <c r="F28" i="12"/>
  <c r="M28" i="12" s="1"/>
  <c r="C27" i="12"/>
  <c r="G26" i="12"/>
  <c r="E26" i="12"/>
  <c r="G25" i="12"/>
  <c r="E25" i="12"/>
  <c r="D25" i="12"/>
  <c r="C24" i="12"/>
  <c r="E23" i="12"/>
  <c r="D23" i="12"/>
  <c r="C23" i="12"/>
  <c r="I21" i="12"/>
  <c r="H21" i="12"/>
  <c r="B21" i="12"/>
  <c r="G20" i="12"/>
  <c r="D20" i="12"/>
  <c r="G19" i="12"/>
  <c r="F19" i="12"/>
  <c r="M19" i="12" s="1"/>
  <c r="G18" i="12"/>
  <c r="E18" i="12"/>
  <c r="D18" i="12"/>
  <c r="E17" i="12"/>
  <c r="D17" i="12"/>
  <c r="L17" i="12" s="1"/>
  <c r="C17" i="12"/>
  <c r="G16" i="12"/>
  <c r="F16" i="12"/>
  <c r="E15" i="12"/>
  <c r="D15" i="12"/>
  <c r="L15" i="12" s="1"/>
  <c r="C15" i="12"/>
  <c r="E14" i="12"/>
  <c r="D14" i="12"/>
  <c r="L14" i="12" s="1"/>
  <c r="C14" i="12"/>
  <c r="E13" i="12"/>
  <c r="D13" i="12"/>
  <c r="C13" i="12"/>
  <c r="I11" i="12"/>
  <c r="H11" i="12"/>
  <c r="B11" i="12"/>
  <c r="C10" i="12"/>
  <c r="C9" i="12"/>
  <c r="G8" i="12"/>
  <c r="E8" i="12"/>
  <c r="D8" i="12"/>
  <c r="E7" i="12"/>
  <c r="D7" i="12"/>
  <c r="L7" i="12" s="1"/>
  <c r="C7" i="12"/>
  <c r="E6" i="12"/>
  <c r="M6" i="12" s="1"/>
  <c r="C6" i="12"/>
  <c r="E5" i="12"/>
  <c r="D5" i="12"/>
  <c r="C5" i="12"/>
  <c r="G4" i="12"/>
  <c r="F4" i="12"/>
  <c r="E3" i="12"/>
  <c r="D3" i="12"/>
  <c r="C3" i="12"/>
  <c r="I96" i="11"/>
  <c r="I90" i="11"/>
  <c r="E90" i="11"/>
  <c r="D90" i="11"/>
  <c r="B90" i="11"/>
  <c r="H89" i="11"/>
  <c r="C89" i="11"/>
  <c r="F89" i="11" s="1"/>
  <c r="H88" i="11"/>
  <c r="G88" i="11" s="1"/>
  <c r="F88" i="11"/>
  <c r="M88" i="11" s="1"/>
  <c r="H87" i="11"/>
  <c r="C87" i="11"/>
  <c r="G86" i="11"/>
  <c r="F86" i="11"/>
  <c r="M86" i="11" s="1"/>
  <c r="H85" i="11"/>
  <c r="C85" i="11"/>
  <c r="K85" i="11" s="1"/>
  <c r="H84" i="11"/>
  <c r="C84" i="11"/>
  <c r="K84" i="11" s="1"/>
  <c r="H83" i="11"/>
  <c r="H90" i="11" s="1"/>
  <c r="F83" i="11"/>
  <c r="I81" i="11"/>
  <c r="E81" i="11"/>
  <c r="D81" i="11"/>
  <c r="B81" i="11"/>
  <c r="H80" i="11"/>
  <c r="G80" i="11" s="1"/>
  <c r="F80" i="11"/>
  <c r="M80" i="11" s="1"/>
  <c r="C79" i="11"/>
  <c r="H78" i="11"/>
  <c r="G78" i="11" s="1"/>
  <c r="F78" i="11"/>
  <c r="C77" i="11"/>
  <c r="F77" i="11" s="1"/>
  <c r="H76" i="11"/>
  <c r="C76" i="11"/>
  <c r="G75" i="11"/>
  <c r="F75" i="11"/>
  <c r="M75" i="11" s="1"/>
  <c r="G74" i="11"/>
  <c r="F74" i="11"/>
  <c r="M74" i="11" s="1"/>
  <c r="H73" i="11"/>
  <c r="C73" i="11"/>
  <c r="H72" i="11"/>
  <c r="F72" i="11"/>
  <c r="I70" i="11"/>
  <c r="E70" i="11"/>
  <c r="D70" i="11"/>
  <c r="B70" i="11"/>
  <c r="C69" i="11"/>
  <c r="H68" i="11"/>
  <c r="G68" i="11" s="1"/>
  <c r="F68" i="11"/>
  <c r="M68" i="11" s="1"/>
  <c r="C67" i="11"/>
  <c r="C66" i="11"/>
  <c r="F66" i="11" s="1"/>
  <c r="M66" i="11" s="1"/>
  <c r="H65" i="11"/>
  <c r="G65" i="11" s="1"/>
  <c r="F65" i="11"/>
  <c r="H64" i="11"/>
  <c r="C64" i="11"/>
  <c r="H63" i="11"/>
  <c r="G63" i="11" s="1"/>
  <c r="F63" i="11"/>
  <c r="G62" i="11"/>
  <c r="F62" i="11"/>
  <c r="C61" i="11"/>
  <c r="F61" i="11" s="1"/>
  <c r="H60" i="11"/>
  <c r="C60" i="11"/>
  <c r="I58" i="11"/>
  <c r="E58" i="11"/>
  <c r="D58" i="11"/>
  <c r="B58" i="11"/>
  <c r="G57" i="11"/>
  <c r="F57" i="11"/>
  <c r="C56" i="11"/>
  <c r="F56" i="11" s="1"/>
  <c r="M56" i="11" s="1"/>
  <c r="H55" i="11"/>
  <c r="C55" i="11"/>
  <c r="F55" i="11" s="1"/>
  <c r="H54" i="11"/>
  <c r="C54" i="11"/>
  <c r="K54" i="11" s="1"/>
  <c r="H53" i="11"/>
  <c r="G53" i="11" s="1"/>
  <c r="F53" i="11"/>
  <c r="C52" i="11"/>
  <c r="F52" i="11" s="1"/>
  <c r="C51" i="11"/>
  <c r="H50" i="11"/>
  <c r="G50" i="11" s="1"/>
  <c r="F50" i="11"/>
  <c r="I47" i="11"/>
  <c r="E47" i="11"/>
  <c r="D47" i="11"/>
  <c r="B47" i="11"/>
  <c r="G46" i="11"/>
  <c r="F46" i="11"/>
  <c r="H45" i="11"/>
  <c r="G45" i="11" s="1"/>
  <c r="F45" i="11"/>
  <c r="C44" i="11"/>
  <c r="F44" i="11" s="1"/>
  <c r="M44" i="11" s="1"/>
  <c r="C43" i="11"/>
  <c r="H42" i="11"/>
  <c r="C42" i="11"/>
  <c r="C41" i="11"/>
  <c r="F41" i="11" s="1"/>
  <c r="M41" i="11" s="1"/>
  <c r="H40" i="11"/>
  <c r="G40" i="11" s="1"/>
  <c r="F40" i="11"/>
  <c r="M40" i="11" s="1"/>
  <c r="H39" i="11"/>
  <c r="G39" i="11" s="1"/>
  <c r="F39" i="11"/>
  <c r="G38" i="11"/>
  <c r="F38" i="11"/>
  <c r="H37" i="11"/>
  <c r="F37" i="11"/>
  <c r="I35" i="11"/>
  <c r="E35" i="11"/>
  <c r="D35" i="11"/>
  <c r="B35" i="11"/>
  <c r="G34" i="11"/>
  <c r="F34" i="11"/>
  <c r="M34" i="11" s="1"/>
  <c r="H33" i="11"/>
  <c r="G33" i="11" s="1"/>
  <c r="F33" i="11"/>
  <c r="G32" i="11"/>
  <c r="F32" i="11"/>
  <c r="M32" i="11" s="1"/>
  <c r="C31" i="11"/>
  <c r="H30" i="11"/>
  <c r="C30" i="11"/>
  <c r="H29" i="11"/>
  <c r="G29" i="11" s="1"/>
  <c r="F29" i="11"/>
  <c r="M29" i="11" s="1"/>
  <c r="H28" i="11"/>
  <c r="C28" i="11"/>
  <c r="F28" i="11" s="1"/>
  <c r="C27" i="11"/>
  <c r="H26" i="11"/>
  <c r="G26" i="11" s="1"/>
  <c r="F26" i="11"/>
  <c r="I24" i="11"/>
  <c r="E24" i="11"/>
  <c r="D24" i="11"/>
  <c r="B24" i="11"/>
  <c r="H23" i="11"/>
  <c r="G23" i="11" s="1"/>
  <c r="C22" i="11"/>
  <c r="G21" i="11"/>
  <c r="F21" i="11"/>
  <c r="M21" i="11" s="1"/>
  <c r="H20" i="11"/>
  <c r="C20" i="11"/>
  <c r="H19" i="11"/>
  <c r="C19" i="11"/>
  <c r="H18" i="11"/>
  <c r="H24" i="11" s="1"/>
  <c r="C18" i="11"/>
  <c r="G17" i="11"/>
  <c r="F17" i="11"/>
  <c r="C16" i="11"/>
  <c r="F16" i="11" s="1"/>
  <c r="M16" i="11" s="1"/>
  <c r="G15" i="11"/>
  <c r="F15" i="11"/>
  <c r="I13" i="11"/>
  <c r="E13" i="11"/>
  <c r="D13" i="11"/>
  <c r="B13" i="11"/>
  <c r="C12" i="11"/>
  <c r="C11" i="11"/>
  <c r="F11" i="11" s="1"/>
  <c r="M11" i="11" s="1"/>
  <c r="H10" i="11"/>
  <c r="G10" i="11" s="1"/>
  <c r="G9" i="11"/>
  <c r="F9" i="11"/>
  <c r="H8" i="11"/>
  <c r="G8" i="11" s="1"/>
  <c r="F8" i="11"/>
  <c r="H7" i="11"/>
  <c r="C7" i="11"/>
  <c r="G6" i="11"/>
  <c r="C5" i="11"/>
  <c r="C4" i="11"/>
  <c r="F4" i="11" s="1"/>
  <c r="M4" i="11" s="1"/>
  <c r="C3" i="11"/>
  <c r="I100" i="10"/>
  <c r="I94" i="10"/>
  <c r="E94" i="10"/>
  <c r="D94" i="10"/>
  <c r="C94" i="10"/>
  <c r="B94" i="10"/>
  <c r="H93" i="10"/>
  <c r="G93" i="10" s="1"/>
  <c r="F93" i="10"/>
  <c r="H92" i="10"/>
  <c r="G92" i="10" s="1"/>
  <c r="F92" i="10"/>
  <c r="M92" i="10" s="1"/>
  <c r="H91" i="10"/>
  <c r="G91" i="10" s="1"/>
  <c r="F91" i="10"/>
  <c r="M91" i="10" s="1"/>
  <c r="H90" i="10"/>
  <c r="G90" i="10" s="1"/>
  <c r="F90" i="10"/>
  <c r="M90" i="10" s="1"/>
  <c r="H89" i="10"/>
  <c r="G89" i="10" s="1"/>
  <c r="F89" i="10"/>
  <c r="M89" i="10" s="1"/>
  <c r="H88" i="10"/>
  <c r="G88" i="10" s="1"/>
  <c r="F88" i="10"/>
  <c r="H87" i="10"/>
  <c r="G87" i="10" s="1"/>
  <c r="F87" i="10"/>
  <c r="H86" i="10"/>
  <c r="G86" i="10" s="1"/>
  <c r="F86" i="10"/>
  <c r="M86" i="10" s="1"/>
  <c r="H85" i="10"/>
  <c r="G85" i="10" s="1"/>
  <c r="F85" i="10"/>
  <c r="M85" i="10" s="1"/>
  <c r="I83" i="10"/>
  <c r="E83" i="10"/>
  <c r="D83" i="10"/>
  <c r="C83" i="10"/>
  <c r="B83" i="10"/>
  <c r="H82" i="10"/>
  <c r="G82" i="10" s="1"/>
  <c r="F82" i="10"/>
  <c r="M82" i="10" s="1"/>
  <c r="H81" i="10"/>
  <c r="G81" i="10" s="1"/>
  <c r="F81" i="10"/>
  <c r="M81" i="10" s="1"/>
  <c r="H80" i="10"/>
  <c r="G80" i="10" s="1"/>
  <c r="F80" i="10"/>
  <c r="H79" i="10"/>
  <c r="G79" i="10" s="1"/>
  <c r="F79" i="10"/>
  <c r="H78" i="10"/>
  <c r="G78" i="10" s="1"/>
  <c r="F78" i="10"/>
  <c r="H77" i="10"/>
  <c r="G77" i="10" s="1"/>
  <c r="F77" i="10"/>
  <c r="M77" i="10" s="1"/>
  <c r="H76" i="10"/>
  <c r="G76" i="10" s="1"/>
  <c r="F76" i="10"/>
  <c r="M76" i="10" s="1"/>
  <c r="H75" i="10"/>
  <c r="G75" i="10" s="1"/>
  <c r="F75" i="10"/>
  <c r="M75" i="10" s="1"/>
  <c r="H74" i="10"/>
  <c r="G74" i="10" s="1"/>
  <c r="F74" i="10"/>
  <c r="H73" i="10"/>
  <c r="G73" i="10" s="1"/>
  <c r="F73" i="10"/>
  <c r="M73" i="10" s="1"/>
  <c r="H72" i="10"/>
  <c r="F72" i="10"/>
  <c r="M72" i="10" s="1"/>
  <c r="I70" i="10"/>
  <c r="E70" i="10"/>
  <c r="D70" i="10"/>
  <c r="C70" i="10"/>
  <c r="B70" i="10"/>
  <c r="H69" i="10"/>
  <c r="G69" i="10" s="1"/>
  <c r="F69" i="10"/>
  <c r="M69" i="10" s="1"/>
  <c r="H68" i="10"/>
  <c r="G68" i="10" s="1"/>
  <c r="F68" i="10"/>
  <c r="M68" i="10" s="1"/>
  <c r="H67" i="10"/>
  <c r="G67" i="10" s="1"/>
  <c r="F67" i="10"/>
  <c r="M67" i="10" s="1"/>
  <c r="H66" i="10"/>
  <c r="G66" i="10" s="1"/>
  <c r="F66" i="10"/>
  <c r="H65" i="10"/>
  <c r="G65" i="10" s="1"/>
  <c r="F65" i="10"/>
  <c r="H64" i="10"/>
  <c r="G64" i="10" s="1"/>
  <c r="F64" i="10"/>
  <c r="H63" i="10"/>
  <c r="G63" i="10" s="1"/>
  <c r="F63" i="10"/>
  <c r="M63" i="10" s="1"/>
  <c r="H62" i="10"/>
  <c r="G62" i="10" s="1"/>
  <c r="F62" i="10"/>
  <c r="H61" i="10"/>
  <c r="G61" i="10" s="1"/>
  <c r="F61" i="10"/>
  <c r="H60" i="10"/>
  <c r="G60" i="10" s="1"/>
  <c r="F60" i="10"/>
  <c r="I58" i="10"/>
  <c r="E58" i="10"/>
  <c r="D58" i="10"/>
  <c r="C58" i="10"/>
  <c r="B58" i="10"/>
  <c r="H57" i="10"/>
  <c r="G57" i="10" s="1"/>
  <c r="F57" i="10"/>
  <c r="H56" i="10"/>
  <c r="G56" i="10" s="1"/>
  <c r="F56" i="10"/>
  <c r="H55" i="10"/>
  <c r="G55" i="10" s="1"/>
  <c r="F55" i="10"/>
  <c r="H54" i="10"/>
  <c r="G54" i="10" s="1"/>
  <c r="F54" i="10"/>
  <c r="M54" i="10" s="1"/>
  <c r="H53" i="10"/>
  <c r="G53" i="10" s="1"/>
  <c r="F53" i="10"/>
  <c r="H52" i="10"/>
  <c r="G52" i="10" s="1"/>
  <c r="F52" i="10"/>
  <c r="H51" i="10"/>
  <c r="G51" i="10" s="1"/>
  <c r="F51" i="10"/>
  <c r="H50" i="10"/>
  <c r="G50" i="10" s="1"/>
  <c r="F50" i="10"/>
  <c r="H49" i="10"/>
  <c r="G49" i="10" s="1"/>
  <c r="F49" i="10"/>
  <c r="H48" i="10"/>
  <c r="G48" i="10" s="1"/>
  <c r="F48" i="10"/>
  <c r="I45" i="10"/>
  <c r="E45" i="10"/>
  <c r="D45" i="10"/>
  <c r="C45" i="10"/>
  <c r="B45" i="10"/>
  <c r="H44" i="10"/>
  <c r="G44" i="10" s="1"/>
  <c r="F44" i="10"/>
  <c r="M44" i="10" s="1"/>
  <c r="H43" i="10"/>
  <c r="G43" i="10" s="1"/>
  <c r="F43" i="10"/>
  <c r="H42" i="10"/>
  <c r="G42" i="10" s="1"/>
  <c r="F42" i="10"/>
  <c r="H41" i="10"/>
  <c r="G41" i="10" s="1"/>
  <c r="F41" i="10"/>
  <c r="H40" i="10"/>
  <c r="G40" i="10" s="1"/>
  <c r="F40" i="10"/>
  <c r="H39" i="10"/>
  <c r="G39" i="10" s="1"/>
  <c r="F39" i="10"/>
  <c r="M39" i="10" s="1"/>
  <c r="M38" i="10"/>
  <c r="H37" i="10"/>
  <c r="G37" i="10" s="1"/>
  <c r="F37" i="10"/>
  <c r="H36" i="10"/>
  <c r="G36" i="10" s="1"/>
  <c r="F36" i="10"/>
  <c r="I34" i="10"/>
  <c r="E34" i="10"/>
  <c r="D34" i="10"/>
  <c r="C34" i="10"/>
  <c r="B34" i="10"/>
  <c r="H33" i="10"/>
  <c r="F33" i="10"/>
  <c r="H32" i="10"/>
  <c r="G32" i="10" s="1"/>
  <c r="F32" i="10"/>
  <c r="M32" i="10" s="1"/>
  <c r="H31" i="10"/>
  <c r="G31" i="10" s="1"/>
  <c r="F31" i="10"/>
  <c r="M31" i="10" s="1"/>
  <c r="H30" i="10"/>
  <c r="G30" i="10" s="1"/>
  <c r="F30" i="10"/>
  <c r="M30" i="10" s="1"/>
  <c r="H29" i="10"/>
  <c r="G29" i="10" s="1"/>
  <c r="F29" i="10"/>
  <c r="H28" i="10"/>
  <c r="G28" i="10" s="1"/>
  <c r="F28" i="10"/>
  <c r="M28" i="10" s="1"/>
  <c r="H26" i="10"/>
  <c r="G26" i="10" s="1"/>
  <c r="F26" i="10"/>
  <c r="M26" i="10" s="1"/>
  <c r="H25" i="10"/>
  <c r="G25" i="10" s="1"/>
  <c r="F25" i="10"/>
  <c r="M25" i="10" s="1"/>
  <c r="H24" i="10"/>
  <c r="F24" i="10"/>
  <c r="I22" i="10"/>
  <c r="E22" i="10"/>
  <c r="D22" i="10"/>
  <c r="C22" i="10"/>
  <c r="B22" i="10"/>
  <c r="H21" i="10"/>
  <c r="F21" i="10"/>
  <c r="H20" i="10"/>
  <c r="G20" i="10" s="1"/>
  <c r="F20" i="10"/>
  <c r="M20" i="10" s="1"/>
  <c r="H19" i="10"/>
  <c r="G19" i="10" s="1"/>
  <c r="F19" i="10"/>
  <c r="M19" i="10" s="1"/>
  <c r="H18" i="10"/>
  <c r="G18" i="10" s="1"/>
  <c r="F18" i="10"/>
  <c r="M18" i="10" s="1"/>
  <c r="H17" i="10"/>
  <c r="G17" i="10" s="1"/>
  <c r="F17" i="10"/>
  <c r="M17" i="10" s="1"/>
  <c r="H16" i="10"/>
  <c r="G16" i="10" s="1"/>
  <c r="F16" i="10"/>
  <c r="H15" i="10"/>
  <c r="G15" i="10" s="1"/>
  <c r="F15" i="10"/>
  <c r="H14" i="10"/>
  <c r="G14" i="10" s="1"/>
  <c r="F14" i="10"/>
  <c r="H13" i="10"/>
  <c r="F13" i="10"/>
  <c r="M13" i="10" s="1"/>
  <c r="I11" i="10"/>
  <c r="E11" i="10"/>
  <c r="D11" i="10"/>
  <c r="C11" i="10"/>
  <c r="B11" i="10"/>
  <c r="H10" i="10"/>
  <c r="G10" i="10" s="1"/>
  <c r="F10" i="10"/>
  <c r="M10" i="10" s="1"/>
  <c r="H9" i="10"/>
  <c r="G9" i="10" s="1"/>
  <c r="F9" i="10"/>
  <c r="M9" i="10" s="1"/>
  <c r="H8" i="10"/>
  <c r="G8" i="10" s="1"/>
  <c r="F8" i="10"/>
  <c r="M8" i="10" s="1"/>
  <c r="H7" i="10"/>
  <c r="G7" i="10" s="1"/>
  <c r="H6" i="10"/>
  <c r="G6" i="10" s="1"/>
  <c r="F6" i="10"/>
  <c r="M6" i="10" s="1"/>
  <c r="H5" i="10"/>
  <c r="G5" i="10" s="1"/>
  <c r="F5" i="10"/>
  <c r="H4" i="10"/>
  <c r="G4" i="10" s="1"/>
  <c r="F4" i="10"/>
  <c r="H3" i="10"/>
  <c r="F3" i="10"/>
  <c r="M3" i="10" s="1"/>
  <c r="I99" i="9"/>
  <c r="I93" i="9"/>
  <c r="E93" i="9"/>
  <c r="D93" i="9"/>
  <c r="C93" i="9"/>
  <c r="B93" i="9"/>
  <c r="H92" i="9"/>
  <c r="G92" i="9" s="1"/>
  <c r="F92" i="9"/>
  <c r="M92" i="9" s="1"/>
  <c r="H91" i="9"/>
  <c r="G91" i="9" s="1"/>
  <c r="F91" i="9"/>
  <c r="M91" i="9" s="1"/>
  <c r="H90" i="9"/>
  <c r="G90" i="9" s="1"/>
  <c r="F90" i="9"/>
  <c r="M90" i="9" s="1"/>
  <c r="H89" i="9"/>
  <c r="G89" i="9" s="1"/>
  <c r="F89" i="9"/>
  <c r="M89" i="9" s="1"/>
  <c r="H88" i="9"/>
  <c r="G88" i="9"/>
  <c r="F88" i="9"/>
  <c r="M88" i="9" s="1"/>
  <c r="H87" i="9"/>
  <c r="G87" i="9" s="1"/>
  <c r="F87" i="9"/>
  <c r="H86" i="9"/>
  <c r="G86" i="9" s="1"/>
  <c r="F86" i="9"/>
  <c r="H85" i="9"/>
  <c r="G85" i="9" s="1"/>
  <c r="F85" i="9"/>
  <c r="H84" i="9"/>
  <c r="G84" i="9" s="1"/>
  <c r="F84" i="9"/>
  <c r="M84" i="9" s="1"/>
  <c r="I82" i="9"/>
  <c r="E82" i="9"/>
  <c r="D82" i="9"/>
  <c r="C82" i="9"/>
  <c r="B82" i="9"/>
  <c r="H81" i="9"/>
  <c r="G81" i="9" s="1"/>
  <c r="F81" i="9"/>
  <c r="M81" i="9" s="1"/>
  <c r="H80" i="9"/>
  <c r="G80" i="9" s="1"/>
  <c r="F80" i="9"/>
  <c r="M80" i="9" s="1"/>
  <c r="H79" i="9"/>
  <c r="G79" i="9" s="1"/>
  <c r="F79" i="9"/>
  <c r="H78" i="9"/>
  <c r="G78" i="9" s="1"/>
  <c r="F78" i="9"/>
  <c r="H77" i="9"/>
  <c r="G77" i="9" s="1"/>
  <c r="F77" i="9"/>
  <c r="H76" i="9"/>
  <c r="G76" i="9"/>
  <c r="F76" i="9"/>
  <c r="M76" i="9" s="1"/>
  <c r="H75" i="9"/>
  <c r="G75" i="9" s="1"/>
  <c r="F75" i="9"/>
  <c r="M75" i="9" s="1"/>
  <c r="H74" i="9"/>
  <c r="G74" i="9" s="1"/>
  <c r="F74" i="9"/>
  <c r="M74" i="9" s="1"/>
  <c r="H73" i="9"/>
  <c r="G73" i="9" s="1"/>
  <c r="F73" i="9"/>
  <c r="H72" i="9"/>
  <c r="G72" i="9" s="1"/>
  <c r="F72" i="9"/>
  <c r="M72" i="9" s="1"/>
  <c r="H71" i="9"/>
  <c r="F71" i="9"/>
  <c r="I69" i="9"/>
  <c r="E69" i="9"/>
  <c r="D69" i="9"/>
  <c r="C69" i="9"/>
  <c r="B69" i="9"/>
  <c r="H68" i="9"/>
  <c r="G68" i="9" s="1"/>
  <c r="F68" i="9"/>
  <c r="M68" i="9" s="1"/>
  <c r="H67" i="9"/>
  <c r="G67" i="9" s="1"/>
  <c r="F67" i="9"/>
  <c r="M67" i="9" s="1"/>
  <c r="H66" i="9"/>
  <c r="G66" i="9" s="1"/>
  <c r="F66" i="9"/>
  <c r="M66" i="9" s="1"/>
  <c r="H65" i="9"/>
  <c r="G65" i="9" s="1"/>
  <c r="F65" i="9"/>
  <c r="H64" i="9"/>
  <c r="G64" i="9"/>
  <c r="F64" i="9"/>
  <c r="H63" i="9"/>
  <c r="G63" i="9" s="1"/>
  <c r="F63" i="9"/>
  <c r="H62" i="9"/>
  <c r="G62" i="9" s="1"/>
  <c r="F62" i="9"/>
  <c r="M62" i="9" s="1"/>
  <c r="H61" i="9"/>
  <c r="G61" i="9" s="1"/>
  <c r="F61" i="9"/>
  <c r="H60" i="9"/>
  <c r="G60" i="9" s="1"/>
  <c r="F60" i="9"/>
  <c r="H59" i="9"/>
  <c r="G59" i="9" s="1"/>
  <c r="F59" i="9"/>
  <c r="I56" i="9"/>
  <c r="E56" i="9"/>
  <c r="D56" i="9"/>
  <c r="C56" i="9"/>
  <c r="B56" i="9"/>
  <c r="H55" i="9"/>
  <c r="G55" i="9" s="1"/>
  <c r="F55" i="9"/>
  <c r="H54" i="9"/>
  <c r="G54" i="9" s="1"/>
  <c r="F54" i="9"/>
  <c r="H53" i="9"/>
  <c r="G53" i="9" s="1"/>
  <c r="F53" i="9"/>
  <c r="H52" i="9"/>
  <c r="G52" i="9" s="1"/>
  <c r="F52" i="9"/>
  <c r="M52" i="9" s="1"/>
  <c r="H51" i="9"/>
  <c r="G51" i="9" s="1"/>
  <c r="F51" i="9"/>
  <c r="H50" i="9"/>
  <c r="G50" i="9" s="1"/>
  <c r="F50" i="9"/>
  <c r="H49" i="9"/>
  <c r="G49" i="9" s="1"/>
  <c r="F49" i="9"/>
  <c r="H48" i="9"/>
  <c r="G48" i="9" s="1"/>
  <c r="F48" i="9"/>
  <c r="H47" i="9"/>
  <c r="G47" i="9"/>
  <c r="F47" i="9"/>
  <c r="I45" i="9"/>
  <c r="E45" i="9"/>
  <c r="D45" i="9"/>
  <c r="C45" i="9"/>
  <c r="B45" i="9"/>
  <c r="H44" i="9"/>
  <c r="G44" i="9" s="1"/>
  <c r="F44" i="9"/>
  <c r="M44" i="9" s="1"/>
  <c r="H43" i="9"/>
  <c r="G43" i="9"/>
  <c r="F43" i="9"/>
  <c r="H42" i="9"/>
  <c r="G42" i="9" s="1"/>
  <c r="F42" i="9"/>
  <c r="H41" i="9"/>
  <c r="G41" i="9" s="1"/>
  <c r="F41" i="9"/>
  <c r="M41" i="9" s="1"/>
  <c r="H40" i="9"/>
  <c r="G40" i="9" s="1"/>
  <c r="F40" i="9"/>
  <c r="H39" i="9"/>
  <c r="G39" i="9" s="1"/>
  <c r="F39" i="9"/>
  <c r="M39" i="9" s="1"/>
  <c r="H38" i="9"/>
  <c r="G38" i="9" s="1"/>
  <c r="F38" i="9"/>
  <c r="M38" i="9" s="1"/>
  <c r="H37" i="9"/>
  <c r="G37" i="9" s="1"/>
  <c r="F37" i="9"/>
  <c r="H36" i="9"/>
  <c r="F36" i="9"/>
  <c r="I34" i="9"/>
  <c r="E34" i="9"/>
  <c r="D34" i="9"/>
  <c r="C34" i="9"/>
  <c r="B34" i="9"/>
  <c r="H33" i="9"/>
  <c r="F33" i="9"/>
  <c r="H32" i="9"/>
  <c r="G32" i="9" s="1"/>
  <c r="F32" i="9"/>
  <c r="M32" i="9" s="1"/>
  <c r="H31" i="9"/>
  <c r="G31" i="9" s="1"/>
  <c r="F31" i="9"/>
  <c r="M31" i="9" s="1"/>
  <c r="H30" i="9"/>
  <c r="G30" i="9" s="1"/>
  <c r="F30" i="9"/>
  <c r="M30" i="9" s="1"/>
  <c r="H29" i="9"/>
  <c r="G29" i="9" s="1"/>
  <c r="F29" i="9"/>
  <c r="H28" i="9"/>
  <c r="G28" i="9" s="1"/>
  <c r="F28" i="9"/>
  <c r="M28" i="9" s="1"/>
  <c r="H27" i="9"/>
  <c r="G27" i="9" s="1"/>
  <c r="F27" i="9"/>
  <c r="M27" i="9" s="1"/>
  <c r="H26" i="9"/>
  <c r="F26" i="9"/>
  <c r="M26" i="9" s="1"/>
  <c r="H25" i="9"/>
  <c r="G25" i="9"/>
  <c r="F25" i="9"/>
  <c r="I23" i="9"/>
  <c r="E23" i="9"/>
  <c r="D23" i="9"/>
  <c r="C23" i="9"/>
  <c r="B23" i="9"/>
  <c r="H22" i="9"/>
  <c r="F22" i="9"/>
  <c r="H21" i="9"/>
  <c r="G21" i="9" s="1"/>
  <c r="F21" i="9"/>
  <c r="M21" i="9" s="1"/>
  <c r="H20" i="9"/>
  <c r="G20" i="9"/>
  <c r="F20" i="9"/>
  <c r="M20" i="9" s="1"/>
  <c r="H19" i="9"/>
  <c r="G19" i="9" s="1"/>
  <c r="F19" i="9"/>
  <c r="M19" i="9" s="1"/>
  <c r="H18" i="9"/>
  <c r="G18" i="9" s="1"/>
  <c r="H17" i="9"/>
  <c r="G17" i="9" s="1"/>
  <c r="F17" i="9"/>
  <c r="M17" i="9" s="1"/>
  <c r="H16" i="9"/>
  <c r="G16" i="9" s="1"/>
  <c r="F16" i="9"/>
  <c r="H15" i="9"/>
  <c r="G15" i="9"/>
  <c r="F15" i="9"/>
  <c r="M15" i="9" s="1"/>
  <c r="H14" i="9"/>
  <c r="G14" i="9" s="1"/>
  <c r="F14" i="9"/>
  <c r="H13" i="9"/>
  <c r="H23" i="9" s="1"/>
  <c r="F13" i="9"/>
  <c r="I11" i="9"/>
  <c r="E11" i="9"/>
  <c r="D11" i="9"/>
  <c r="C11" i="9"/>
  <c r="B11" i="9"/>
  <c r="H10" i="9"/>
  <c r="G10" i="9" s="1"/>
  <c r="F10" i="9"/>
  <c r="M10" i="9" s="1"/>
  <c r="H9" i="9"/>
  <c r="G9" i="9" s="1"/>
  <c r="F9" i="9"/>
  <c r="M9" i="9" s="1"/>
  <c r="H8" i="9"/>
  <c r="G8" i="9" s="1"/>
  <c r="F8" i="9"/>
  <c r="M8" i="9" s="1"/>
  <c r="H7" i="9"/>
  <c r="G7" i="9"/>
  <c r="H6" i="9"/>
  <c r="G6" i="9"/>
  <c r="F6" i="9"/>
  <c r="M6" i="9" s="1"/>
  <c r="H5" i="9"/>
  <c r="G5" i="9" s="1"/>
  <c r="F5" i="9"/>
  <c r="H4" i="9"/>
  <c r="G4" i="9" s="1"/>
  <c r="F4" i="9"/>
  <c r="H3" i="9"/>
  <c r="F3" i="9"/>
  <c r="I93" i="8"/>
  <c r="I87" i="8"/>
  <c r="F87" i="8"/>
  <c r="E87" i="8"/>
  <c r="D87" i="8"/>
  <c r="C87" i="8"/>
  <c r="B87" i="8"/>
  <c r="H86" i="8"/>
  <c r="G86" i="8" s="1"/>
  <c r="H85" i="8"/>
  <c r="G85" i="8" s="1"/>
  <c r="H84" i="8"/>
  <c r="G84" i="8" s="1"/>
  <c r="H83" i="8"/>
  <c r="G83" i="8" s="1"/>
  <c r="H82" i="8"/>
  <c r="G82" i="8" s="1"/>
  <c r="H81" i="8"/>
  <c r="G81" i="8" s="1"/>
  <c r="H80" i="8"/>
  <c r="G80" i="8" s="1"/>
  <c r="I78" i="8"/>
  <c r="F78" i="8"/>
  <c r="E78" i="8"/>
  <c r="D78" i="8"/>
  <c r="C78" i="8"/>
  <c r="B78" i="8"/>
  <c r="H77" i="8"/>
  <c r="G77" i="8" s="1"/>
  <c r="H76" i="8"/>
  <c r="G76" i="8" s="1"/>
  <c r="H75" i="8"/>
  <c r="G75" i="8" s="1"/>
  <c r="H74" i="8"/>
  <c r="G74" i="8" s="1"/>
  <c r="H73" i="8"/>
  <c r="G73" i="8" s="1"/>
  <c r="H72" i="8"/>
  <c r="G72" i="8" s="1"/>
  <c r="H71" i="8"/>
  <c r="G71" i="8" s="1"/>
  <c r="H70" i="8"/>
  <c r="G70" i="8" s="1"/>
  <c r="H69" i="8"/>
  <c r="G69" i="8" s="1"/>
  <c r="H68" i="8"/>
  <c r="G68" i="8" s="1"/>
  <c r="H67" i="8"/>
  <c r="I65" i="8"/>
  <c r="E65" i="8"/>
  <c r="D65" i="8"/>
  <c r="B65" i="8"/>
  <c r="H64" i="8"/>
  <c r="G64" i="8" s="1"/>
  <c r="H63" i="8"/>
  <c r="G63" i="8" s="1"/>
  <c r="H62" i="8"/>
  <c r="G62" i="8" s="1"/>
  <c r="H61" i="8"/>
  <c r="G61" i="8" s="1"/>
  <c r="GG61" i="8" s="1"/>
  <c r="H60" i="8"/>
  <c r="G60" i="8" s="1"/>
  <c r="H59" i="8"/>
  <c r="G59" i="8" s="1"/>
  <c r="GG59" i="8" s="1"/>
  <c r="H58" i="8"/>
  <c r="G58" i="8" s="1"/>
  <c r="F58" i="8"/>
  <c r="H57" i="8"/>
  <c r="C57" i="8"/>
  <c r="I55" i="8"/>
  <c r="F55" i="8"/>
  <c r="E55" i="8"/>
  <c r="D55" i="8"/>
  <c r="C55" i="8"/>
  <c r="B55" i="8"/>
  <c r="H54" i="8"/>
  <c r="G54" i="8" s="1"/>
  <c r="H53" i="8"/>
  <c r="G53" i="8" s="1"/>
  <c r="H52" i="8"/>
  <c r="G52" i="8" s="1"/>
  <c r="H51" i="8"/>
  <c r="G51" i="8" s="1"/>
  <c r="H50" i="8"/>
  <c r="G50" i="8" s="1"/>
  <c r="GG50" i="8" s="1"/>
  <c r="H49" i="8"/>
  <c r="G49" i="8" s="1"/>
  <c r="H48" i="8"/>
  <c r="G48" i="8" s="1"/>
  <c r="H47" i="8"/>
  <c r="G47" i="8" s="1"/>
  <c r="H46" i="8"/>
  <c r="G46" i="8" s="1"/>
  <c r="H45" i="8"/>
  <c r="I42" i="8"/>
  <c r="E42" i="8"/>
  <c r="D42" i="8"/>
  <c r="C42" i="8"/>
  <c r="B42" i="8"/>
  <c r="H41" i="8"/>
  <c r="G41" i="8" s="1"/>
  <c r="H40" i="8"/>
  <c r="G40" i="8" s="1"/>
  <c r="H39" i="8"/>
  <c r="G39" i="8" s="1"/>
  <c r="H38" i="8"/>
  <c r="G38" i="8" s="1"/>
  <c r="H37" i="8"/>
  <c r="G37" i="8" s="1"/>
  <c r="H36" i="8"/>
  <c r="G36" i="8" s="1"/>
  <c r="H35" i="8"/>
  <c r="G35" i="8" s="1"/>
  <c r="F35" i="8"/>
  <c r="M35" i="8" s="1"/>
  <c r="H34" i="8"/>
  <c r="G34" i="8" s="1"/>
  <c r="H33" i="8"/>
  <c r="I31" i="8"/>
  <c r="F31" i="8"/>
  <c r="E31" i="8"/>
  <c r="D31" i="8"/>
  <c r="C31" i="8"/>
  <c r="B31" i="8"/>
  <c r="F30" i="8"/>
  <c r="H29" i="8"/>
  <c r="G29" i="8" s="1"/>
  <c r="H28" i="8"/>
  <c r="G28" i="8" s="1"/>
  <c r="H27" i="8"/>
  <c r="G27" i="8" s="1"/>
  <c r="H26" i="8"/>
  <c r="G26" i="8" s="1"/>
  <c r="H25" i="8"/>
  <c r="G25" i="8" s="1"/>
  <c r="H24" i="8"/>
  <c r="G24" i="8" s="1"/>
  <c r="H23" i="8"/>
  <c r="G23" i="8" s="1"/>
  <c r="H22" i="8"/>
  <c r="I20" i="8"/>
  <c r="F20" i="8"/>
  <c r="E20" i="8"/>
  <c r="D20" i="8"/>
  <c r="C20" i="8"/>
  <c r="B20" i="8"/>
  <c r="H19" i="8"/>
  <c r="F19" i="8"/>
  <c r="H18" i="8"/>
  <c r="G18" i="8" s="1"/>
  <c r="H17" i="8"/>
  <c r="G17" i="8" s="1"/>
  <c r="H16" i="8"/>
  <c r="G16" i="8" s="1"/>
  <c r="H15" i="8"/>
  <c r="G15" i="8" s="1"/>
  <c r="H14" i="8"/>
  <c r="G14" i="8" s="1"/>
  <c r="H13" i="8"/>
  <c r="I11" i="8"/>
  <c r="F11" i="8"/>
  <c r="E11" i="8"/>
  <c r="D11" i="8"/>
  <c r="C11" i="8"/>
  <c r="B11" i="8"/>
  <c r="H10" i="8"/>
  <c r="G10" i="8" s="1"/>
  <c r="H9" i="8"/>
  <c r="G9" i="8" s="1"/>
  <c r="H8" i="8"/>
  <c r="G8" i="8" s="1"/>
  <c r="H7" i="8"/>
  <c r="G7" i="8" s="1"/>
  <c r="H6" i="8"/>
  <c r="G6" i="8" s="1"/>
  <c r="H5" i="8"/>
  <c r="G5" i="8" s="1"/>
  <c r="H4" i="8"/>
  <c r="G4" i="8" s="1"/>
  <c r="H3" i="8"/>
  <c r="I96" i="7"/>
  <c r="I90" i="7"/>
  <c r="F90" i="7"/>
  <c r="E90" i="7"/>
  <c r="D90" i="7"/>
  <c r="C90" i="7"/>
  <c r="B90" i="7"/>
  <c r="H89" i="7"/>
  <c r="G89" i="7" s="1"/>
  <c r="H88" i="7"/>
  <c r="G88" i="7"/>
  <c r="H87" i="7"/>
  <c r="G87" i="7"/>
  <c r="H86" i="7"/>
  <c r="G86" i="7"/>
  <c r="H85" i="7"/>
  <c r="G85" i="7"/>
  <c r="H84" i="7"/>
  <c r="G84" i="7"/>
  <c r="H83" i="7"/>
  <c r="G83" i="7" s="1"/>
  <c r="H82" i="7"/>
  <c r="H90" i="7" s="1"/>
  <c r="I80" i="7"/>
  <c r="F80" i="7"/>
  <c r="E80" i="7"/>
  <c r="D80" i="7"/>
  <c r="C80" i="7"/>
  <c r="B80" i="7"/>
  <c r="H79" i="7"/>
  <c r="G79" i="7" s="1"/>
  <c r="H78" i="7"/>
  <c r="G78" i="7" s="1"/>
  <c r="H77" i="7"/>
  <c r="G77" i="7" s="1"/>
  <c r="H76" i="7"/>
  <c r="G76" i="7" s="1"/>
  <c r="H75" i="7"/>
  <c r="G75" i="7"/>
  <c r="H74" i="7"/>
  <c r="G74" i="7" s="1"/>
  <c r="GG74" i="7" s="1"/>
  <c r="H73" i="7"/>
  <c r="G73" i="7" s="1"/>
  <c r="H72" i="7"/>
  <c r="G72" i="7" s="1"/>
  <c r="H71" i="7"/>
  <c r="G71" i="7" s="1"/>
  <c r="H70" i="7"/>
  <c r="G70" i="7" s="1"/>
  <c r="I68" i="7"/>
  <c r="E68" i="7"/>
  <c r="D68" i="7"/>
  <c r="C68" i="7"/>
  <c r="B68" i="7"/>
  <c r="H67" i="7"/>
  <c r="G67" i="7" s="1"/>
  <c r="H66" i="7"/>
  <c r="G66" i="7" s="1"/>
  <c r="H65" i="7"/>
  <c r="G65" i="7" s="1"/>
  <c r="H64" i="7"/>
  <c r="G64" i="7" s="1"/>
  <c r="H63" i="7"/>
  <c r="G63" i="7" s="1"/>
  <c r="GG63" i="7" s="1"/>
  <c r="H62" i="7"/>
  <c r="G62" i="7" s="1"/>
  <c r="GG62" i="7" s="1"/>
  <c r="H61" i="7"/>
  <c r="G61" i="7" s="1"/>
  <c r="GG61" i="7" s="1"/>
  <c r="H60" i="7"/>
  <c r="G60" i="7" s="1"/>
  <c r="GG60" i="7" s="1"/>
  <c r="H59" i="7"/>
  <c r="G59" i="7" s="1"/>
  <c r="F59" i="7"/>
  <c r="H58" i="7"/>
  <c r="I56" i="7"/>
  <c r="E56" i="7"/>
  <c r="D56" i="7"/>
  <c r="C56" i="7"/>
  <c r="B56" i="7"/>
  <c r="H55" i="7"/>
  <c r="G55" i="7" s="1"/>
  <c r="F55" i="7"/>
  <c r="H54" i="7"/>
  <c r="G54" i="7" s="1"/>
  <c r="H53" i="7"/>
  <c r="G53" i="7" s="1"/>
  <c r="H52" i="7"/>
  <c r="G52" i="7" s="1"/>
  <c r="H51" i="7"/>
  <c r="G51" i="7" s="1"/>
  <c r="H50" i="7"/>
  <c r="G50" i="7" s="1"/>
  <c r="H49" i="7"/>
  <c r="G49" i="7" s="1"/>
  <c r="F49" i="7"/>
  <c r="H48" i="7"/>
  <c r="G48" i="7" s="1"/>
  <c r="H47" i="7"/>
  <c r="G47" i="7" s="1"/>
  <c r="I44" i="7"/>
  <c r="E44" i="7"/>
  <c r="D44" i="7"/>
  <c r="C44" i="7"/>
  <c r="B44" i="7"/>
  <c r="H43" i="7"/>
  <c r="G43" i="7" s="1"/>
  <c r="H42" i="7"/>
  <c r="G42" i="7" s="1"/>
  <c r="H41" i="7"/>
  <c r="G41" i="7" s="1"/>
  <c r="H40" i="7"/>
  <c r="G40" i="7" s="1"/>
  <c r="F40" i="7"/>
  <c r="H39" i="7"/>
  <c r="G39" i="7" s="1"/>
  <c r="H38" i="7"/>
  <c r="G38" i="7" s="1"/>
  <c r="H37" i="7"/>
  <c r="G37" i="7" s="1"/>
  <c r="F37" i="7"/>
  <c r="H36" i="7"/>
  <c r="G36" i="7" s="1"/>
  <c r="H35" i="7"/>
  <c r="G35" i="7" s="1"/>
  <c r="I33" i="7"/>
  <c r="F33" i="7"/>
  <c r="E33" i="7"/>
  <c r="D33" i="7"/>
  <c r="C33" i="7"/>
  <c r="B33" i="7"/>
  <c r="F32" i="7"/>
  <c r="H31" i="7"/>
  <c r="G31" i="7" s="1"/>
  <c r="H30" i="7"/>
  <c r="G30" i="7" s="1"/>
  <c r="H29" i="7"/>
  <c r="G29" i="7" s="1"/>
  <c r="H28" i="7"/>
  <c r="G28" i="7" s="1"/>
  <c r="H27" i="7"/>
  <c r="G27" i="7" s="1"/>
  <c r="H26" i="7"/>
  <c r="G26" i="7" s="1"/>
  <c r="H25" i="7"/>
  <c r="G25" i="7" s="1"/>
  <c r="H24" i="7"/>
  <c r="G24" i="7" s="1"/>
  <c r="I22" i="7"/>
  <c r="E22" i="7"/>
  <c r="D22" i="7"/>
  <c r="C22" i="7"/>
  <c r="B22" i="7"/>
  <c r="F21" i="7"/>
  <c r="H20" i="7"/>
  <c r="G20" i="7" s="1"/>
  <c r="H19" i="7"/>
  <c r="G19" i="7" s="1"/>
  <c r="H18" i="7"/>
  <c r="G18" i="7" s="1"/>
  <c r="H17" i="7"/>
  <c r="G17" i="7" s="1"/>
  <c r="F17" i="7"/>
  <c r="H16" i="7"/>
  <c r="G16" i="7" s="1"/>
  <c r="H15" i="7"/>
  <c r="G15" i="7" s="1"/>
  <c r="H14" i="7"/>
  <c r="I12" i="7"/>
  <c r="F12" i="7"/>
  <c r="E12" i="7"/>
  <c r="D12" i="7"/>
  <c r="C12" i="7"/>
  <c r="B12" i="7"/>
  <c r="H11" i="7"/>
  <c r="G11" i="7" s="1"/>
  <c r="H10" i="7"/>
  <c r="G10" i="7" s="1"/>
  <c r="H9" i="7"/>
  <c r="G9" i="7" s="1"/>
  <c r="H8" i="7"/>
  <c r="G8" i="7" s="1"/>
  <c r="H7" i="7"/>
  <c r="G7" i="7" s="1"/>
  <c r="H6" i="7"/>
  <c r="G6" i="7" s="1"/>
  <c r="H5" i="7"/>
  <c r="G5" i="7" s="1"/>
  <c r="H4" i="7"/>
  <c r="G4" i="7" s="1"/>
  <c r="H3" i="7"/>
  <c r="G3" i="7" s="1"/>
  <c r="I87" i="6"/>
  <c r="F87" i="6"/>
  <c r="E87" i="6"/>
  <c r="D87" i="6"/>
  <c r="C87" i="6"/>
  <c r="B87" i="6"/>
  <c r="H86" i="6"/>
  <c r="G86" i="6" s="1"/>
  <c r="H85" i="6"/>
  <c r="G85" i="6" s="1"/>
  <c r="H84" i="6"/>
  <c r="G84" i="6" s="1"/>
  <c r="H83" i="6"/>
  <c r="G83" i="6" s="1"/>
  <c r="H82" i="6"/>
  <c r="G82" i="6" s="1"/>
  <c r="H81" i="6"/>
  <c r="G81" i="6" s="1"/>
  <c r="H80" i="6"/>
  <c r="I78" i="6"/>
  <c r="H77" i="6"/>
  <c r="G77" i="6" s="1"/>
  <c r="H76" i="6"/>
  <c r="G76" i="6" s="1"/>
  <c r="H75" i="6"/>
  <c r="G75" i="6" s="1"/>
  <c r="H74" i="6"/>
  <c r="G74" i="6" s="1"/>
  <c r="H73" i="6"/>
  <c r="G73" i="6" s="1"/>
  <c r="H72" i="6"/>
  <c r="G72" i="6" s="1"/>
  <c r="H71" i="6"/>
  <c r="G71" i="6" s="1"/>
  <c r="H70" i="6"/>
  <c r="G70" i="6" s="1"/>
  <c r="H69" i="6"/>
  <c r="G69" i="6" s="1"/>
  <c r="H68" i="6"/>
  <c r="G68" i="6" s="1"/>
  <c r="I66" i="6"/>
  <c r="F66" i="6"/>
  <c r="E66" i="6"/>
  <c r="D66" i="6"/>
  <c r="C66" i="6"/>
  <c r="B66" i="6"/>
  <c r="H65" i="6"/>
  <c r="G65" i="6" s="1"/>
  <c r="H64" i="6"/>
  <c r="G64" i="6" s="1"/>
  <c r="H63" i="6"/>
  <c r="G63" i="6" s="1"/>
  <c r="H62" i="6"/>
  <c r="G62" i="6" s="1"/>
  <c r="H61" i="6"/>
  <c r="G61" i="6" s="1"/>
  <c r="H60" i="6"/>
  <c r="G60" i="6" s="1"/>
  <c r="H59" i="6"/>
  <c r="G59" i="6" s="1"/>
  <c r="H58" i="6"/>
  <c r="G58" i="6"/>
  <c r="H57" i="6"/>
  <c r="G57" i="6"/>
  <c r="I55" i="6"/>
  <c r="F55" i="6"/>
  <c r="E55" i="6"/>
  <c r="D55" i="6"/>
  <c r="C55" i="6"/>
  <c r="B55" i="6"/>
  <c r="H54" i="6"/>
  <c r="G54" i="6" s="1"/>
  <c r="H53" i="6"/>
  <c r="G53" i="6" s="1"/>
  <c r="H52" i="6"/>
  <c r="G52" i="6" s="1"/>
  <c r="H51" i="6"/>
  <c r="G51" i="6" s="1"/>
  <c r="H50" i="6"/>
  <c r="G50" i="6" s="1"/>
  <c r="H49" i="6"/>
  <c r="G49" i="6" s="1"/>
  <c r="H48" i="6"/>
  <c r="G48" i="6" s="1"/>
  <c r="H47" i="6"/>
  <c r="G47" i="6" s="1"/>
  <c r="H46" i="6"/>
  <c r="I44" i="6"/>
  <c r="E44" i="6"/>
  <c r="D44" i="6"/>
  <c r="C44" i="6"/>
  <c r="B44" i="6"/>
  <c r="H43" i="6"/>
  <c r="G43" i="6" s="1"/>
  <c r="H42" i="6"/>
  <c r="G42" i="6" s="1"/>
  <c r="H41" i="6"/>
  <c r="G41" i="6" s="1"/>
  <c r="H40" i="6"/>
  <c r="G40" i="6" s="1"/>
  <c r="H39" i="6"/>
  <c r="G39" i="6" s="1"/>
  <c r="H38" i="6"/>
  <c r="G38" i="6" s="1"/>
  <c r="F38" i="6"/>
  <c r="M38" i="6" s="1"/>
  <c r="H37" i="6"/>
  <c r="G37" i="6" s="1"/>
  <c r="H36" i="6"/>
  <c r="G36" i="6" s="1"/>
  <c r="H35" i="6"/>
  <c r="G35" i="6" s="1"/>
  <c r="I33" i="6"/>
  <c r="F33" i="6"/>
  <c r="E33" i="6"/>
  <c r="D33" i="6"/>
  <c r="C33" i="6"/>
  <c r="B33" i="6"/>
  <c r="H31" i="6"/>
  <c r="G31" i="6" s="1"/>
  <c r="H30" i="6"/>
  <c r="G30" i="6" s="1"/>
  <c r="H29" i="6"/>
  <c r="G29" i="6" s="1"/>
  <c r="H28" i="6"/>
  <c r="G28" i="6" s="1"/>
  <c r="H27" i="6"/>
  <c r="G27" i="6" s="1"/>
  <c r="H26" i="6"/>
  <c r="G26" i="6" s="1"/>
  <c r="H25" i="6"/>
  <c r="G25" i="6" s="1"/>
  <c r="H24" i="6"/>
  <c r="G24" i="6" s="1"/>
  <c r="H23" i="6"/>
  <c r="I21" i="6"/>
  <c r="F21" i="6"/>
  <c r="E21" i="6"/>
  <c r="D21" i="6"/>
  <c r="C21" i="6"/>
  <c r="B21" i="6"/>
  <c r="H19" i="6"/>
  <c r="G19" i="6" s="1"/>
  <c r="H18" i="6"/>
  <c r="G18" i="6" s="1"/>
  <c r="H17" i="6"/>
  <c r="G17" i="6" s="1"/>
  <c r="H16" i="6"/>
  <c r="G16" i="6" s="1"/>
  <c r="H15" i="6"/>
  <c r="G15" i="6" s="1"/>
  <c r="H14" i="6"/>
  <c r="G14" i="6" s="1"/>
  <c r="H13" i="6"/>
  <c r="I11" i="6"/>
  <c r="F11" i="6"/>
  <c r="E11" i="6"/>
  <c r="D11" i="6"/>
  <c r="C11" i="6"/>
  <c r="B11" i="6"/>
  <c r="H10" i="6"/>
  <c r="G10" i="6" s="1"/>
  <c r="H9" i="6"/>
  <c r="G9" i="6" s="1"/>
  <c r="H8" i="6"/>
  <c r="G8" i="6" s="1"/>
  <c r="H7" i="6"/>
  <c r="G7" i="6" s="1"/>
  <c r="H6" i="6"/>
  <c r="G6" i="6" s="1"/>
  <c r="H5" i="6"/>
  <c r="G5" i="6" s="1"/>
  <c r="H4" i="6"/>
  <c r="G4" i="6" s="1"/>
  <c r="H3" i="6"/>
  <c r="G3" i="6" s="1"/>
  <c r="I88" i="5"/>
  <c r="E88" i="5"/>
  <c r="D88" i="5"/>
  <c r="C88" i="5"/>
  <c r="B88" i="5"/>
  <c r="H87" i="5"/>
  <c r="G87" i="5" s="1"/>
  <c r="H86" i="5"/>
  <c r="G86" i="5" s="1"/>
  <c r="H85" i="5"/>
  <c r="G85" i="5" s="1"/>
  <c r="F85" i="5"/>
  <c r="F88" i="5" s="1"/>
  <c r="H84" i="5"/>
  <c r="G84" i="5" s="1"/>
  <c r="H83" i="5"/>
  <c r="G83" i="5" s="1"/>
  <c r="H82" i="5"/>
  <c r="G82" i="5" s="1"/>
  <c r="H81" i="5"/>
  <c r="G81" i="5" s="1"/>
  <c r="I79" i="5"/>
  <c r="E79" i="5"/>
  <c r="D79" i="5"/>
  <c r="C79" i="5"/>
  <c r="B79" i="5"/>
  <c r="H78" i="5"/>
  <c r="G78" i="5" s="1"/>
  <c r="H77" i="5"/>
  <c r="G77" i="5" s="1"/>
  <c r="H76" i="5"/>
  <c r="G76" i="5" s="1"/>
  <c r="H75" i="5"/>
  <c r="G75" i="5" s="1"/>
  <c r="H74" i="5"/>
  <c r="G74" i="5" s="1"/>
  <c r="H73" i="5"/>
  <c r="G73" i="5" s="1"/>
  <c r="F73" i="5"/>
  <c r="H72" i="5"/>
  <c r="G72" i="5" s="1"/>
  <c r="H71" i="5"/>
  <c r="G71" i="5" s="1"/>
  <c r="H70" i="5"/>
  <c r="G70" i="5" s="1"/>
  <c r="H69" i="5"/>
  <c r="G69" i="5" s="1"/>
  <c r="I67" i="5"/>
  <c r="E67" i="5"/>
  <c r="D67" i="5"/>
  <c r="C67" i="5"/>
  <c r="B67" i="5"/>
  <c r="H66" i="5"/>
  <c r="G66" i="5" s="1"/>
  <c r="H65" i="5"/>
  <c r="G65" i="5" s="1"/>
  <c r="H64" i="5"/>
  <c r="G64" i="5" s="1"/>
  <c r="H63" i="5"/>
  <c r="G63" i="5" s="1"/>
  <c r="H62" i="5"/>
  <c r="G62" i="5" s="1"/>
  <c r="F62" i="5"/>
  <c r="H61" i="5"/>
  <c r="G61" i="5" s="1"/>
  <c r="F61" i="5"/>
  <c r="F67" i="5" s="1"/>
  <c r="H60" i="5"/>
  <c r="G60" i="5" s="1"/>
  <c r="H59" i="5"/>
  <c r="G59" i="5" s="1"/>
  <c r="H58" i="5"/>
  <c r="G58" i="5" s="1"/>
  <c r="H57" i="5"/>
  <c r="G57" i="5" s="1"/>
  <c r="I55" i="5"/>
  <c r="E55" i="5"/>
  <c r="D55" i="5"/>
  <c r="C55" i="5"/>
  <c r="B55" i="5"/>
  <c r="H54" i="5"/>
  <c r="G54" i="5" s="1"/>
  <c r="H53" i="5"/>
  <c r="G53" i="5" s="1"/>
  <c r="H52" i="5"/>
  <c r="G52" i="5" s="1"/>
  <c r="H51" i="5"/>
  <c r="G51" i="5" s="1"/>
  <c r="F51" i="5"/>
  <c r="H50" i="5"/>
  <c r="G50" i="5" s="1"/>
  <c r="F50" i="5"/>
  <c r="H49" i="5"/>
  <c r="G49" i="5" s="1"/>
  <c r="H48" i="5"/>
  <c r="G48" i="5" s="1"/>
  <c r="H47" i="5"/>
  <c r="G47" i="5" s="1"/>
  <c r="H46" i="5"/>
  <c r="G46" i="5" s="1"/>
  <c r="I44" i="5"/>
  <c r="E44" i="5"/>
  <c r="D44" i="5"/>
  <c r="C44" i="5"/>
  <c r="B44" i="5"/>
  <c r="H43" i="5"/>
  <c r="G43" i="5" s="1"/>
  <c r="H42" i="5"/>
  <c r="G42" i="5" s="1"/>
  <c r="H41" i="5"/>
  <c r="G41" i="5" s="1"/>
  <c r="H40" i="5"/>
  <c r="G40" i="5" s="1"/>
  <c r="H39" i="5"/>
  <c r="G39" i="5" s="1"/>
  <c r="H38" i="5"/>
  <c r="G38" i="5" s="1"/>
  <c r="F38" i="5"/>
  <c r="M38" i="5" s="1"/>
  <c r="H37" i="5"/>
  <c r="G37" i="5" s="1"/>
  <c r="H36" i="5"/>
  <c r="G36" i="5" s="1"/>
  <c r="I34" i="5"/>
  <c r="F34" i="5"/>
  <c r="E34" i="5"/>
  <c r="D34" i="5"/>
  <c r="C34" i="5"/>
  <c r="B34" i="5"/>
  <c r="F33" i="5"/>
  <c r="H32" i="5"/>
  <c r="G32" i="5" s="1"/>
  <c r="H31" i="5"/>
  <c r="G31" i="5" s="1"/>
  <c r="H30" i="5"/>
  <c r="G30" i="5" s="1"/>
  <c r="H29" i="5"/>
  <c r="G29" i="5" s="1"/>
  <c r="H28" i="5"/>
  <c r="G28" i="5" s="1"/>
  <c r="H27" i="5"/>
  <c r="G27" i="5" s="1"/>
  <c r="H26" i="5"/>
  <c r="G26" i="5" s="1"/>
  <c r="H25" i="5"/>
  <c r="G25" i="5" s="1"/>
  <c r="H24" i="5"/>
  <c r="I22" i="5"/>
  <c r="F22" i="5"/>
  <c r="E22" i="5"/>
  <c r="D22" i="5"/>
  <c r="C22" i="5"/>
  <c r="B22" i="5"/>
  <c r="F21" i="5"/>
  <c r="H20" i="5"/>
  <c r="G20" i="5" s="1"/>
  <c r="H19" i="5"/>
  <c r="G19" i="5" s="1"/>
  <c r="H18" i="5"/>
  <c r="G18" i="5" s="1"/>
  <c r="H17" i="5"/>
  <c r="G17" i="5" s="1"/>
  <c r="H16" i="5"/>
  <c r="G16" i="5" s="1"/>
  <c r="H15" i="5"/>
  <c r="G15" i="5" s="1"/>
  <c r="H14" i="5"/>
  <c r="G14" i="5" s="1"/>
  <c r="H13" i="5"/>
  <c r="G13" i="5" s="1"/>
  <c r="I11" i="5"/>
  <c r="F11" i="5"/>
  <c r="E11" i="5"/>
  <c r="D11" i="5"/>
  <c r="C11" i="5"/>
  <c r="B11" i="5"/>
  <c r="H10" i="5"/>
  <c r="G10" i="5" s="1"/>
  <c r="H9" i="5"/>
  <c r="G9" i="5" s="1"/>
  <c r="H8" i="5"/>
  <c r="G8" i="5" s="1"/>
  <c r="H7" i="5"/>
  <c r="G7" i="5" s="1"/>
  <c r="H6" i="5"/>
  <c r="G6" i="5" s="1"/>
  <c r="H5" i="5"/>
  <c r="G5" i="5" s="1"/>
  <c r="H4" i="5"/>
  <c r="G4" i="5" s="1"/>
  <c r="H3" i="5"/>
  <c r="G3" i="5" s="1"/>
  <c r="I97" i="2"/>
  <c r="I91" i="2"/>
  <c r="E91" i="2"/>
  <c r="D91" i="2"/>
  <c r="C91" i="2"/>
  <c r="B91" i="2"/>
  <c r="H90" i="2"/>
  <c r="G90" i="2" s="1"/>
  <c r="F90" i="2"/>
  <c r="H89" i="2"/>
  <c r="G89" i="2" s="1"/>
  <c r="F89" i="2"/>
  <c r="M89" i="2" s="1"/>
  <c r="H88" i="2"/>
  <c r="G88" i="2" s="1"/>
  <c r="F88" i="2"/>
  <c r="M88" i="2" s="1"/>
  <c r="H87" i="2"/>
  <c r="G87" i="2" s="1"/>
  <c r="H86" i="2"/>
  <c r="G86" i="2" s="1"/>
  <c r="F86" i="2"/>
  <c r="M86" i="2" s="1"/>
  <c r="H85" i="2"/>
  <c r="G85" i="2" s="1"/>
  <c r="F85" i="2"/>
  <c r="M85" i="2" s="1"/>
  <c r="H84" i="2"/>
  <c r="G84" i="2" s="1"/>
  <c r="I82" i="2"/>
  <c r="E82" i="2"/>
  <c r="D82" i="2"/>
  <c r="C82" i="2"/>
  <c r="B82" i="2"/>
  <c r="H81" i="2"/>
  <c r="G81" i="2" s="1"/>
  <c r="F81" i="2"/>
  <c r="M81" i="2" s="1"/>
  <c r="H80" i="2"/>
  <c r="G80" i="2" s="1"/>
  <c r="H79" i="2"/>
  <c r="G79" i="2" s="1"/>
  <c r="F79" i="2"/>
  <c r="H78" i="2"/>
  <c r="G78" i="2" s="1"/>
  <c r="H77" i="2"/>
  <c r="G77" i="2" s="1"/>
  <c r="H76" i="2"/>
  <c r="G76" i="2" s="1"/>
  <c r="H75" i="2"/>
  <c r="G75" i="2" s="1"/>
  <c r="H74" i="2"/>
  <c r="G74" i="2" s="1"/>
  <c r="F74" i="2"/>
  <c r="H73" i="2"/>
  <c r="G73" i="2" s="1"/>
  <c r="I71" i="2"/>
  <c r="E71" i="2"/>
  <c r="D71" i="2"/>
  <c r="C71" i="2"/>
  <c r="B71" i="2"/>
  <c r="H70" i="2"/>
  <c r="G70" i="2" s="1"/>
  <c r="H69" i="2"/>
  <c r="G69" i="2" s="1"/>
  <c r="F69" i="2"/>
  <c r="M69" i="2" s="1"/>
  <c r="H68" i="2"/>
  <c r="G68" i="2" s="1"/>
  <c r="H67" i="2"/>
  <c r="G67" i="2" s="1"/>
  <c r="H66" i="2"/>
  <c r="G66" i="2" s="1"/>
  <c r="F66" i="2"/>
  <c r="H65" i="2"/>
  <c r="G65" i="2" s="1"/>
  <c r="F65" i="2"/>
  <c r="M65" i="2" s="1"/>
  <c r="H64" i="2"/>
  <c r="G64" i="2" s="1"/>
  <c r="F64" i="2"/>
  <c r="H63" i="2"/>
  <c r="G63" i="2" s="1"/>
  <c r="H62" i="2"/>
  <c r="G62" i="2" s="1"/>
  <c r="H61" i="2"/>
  <c r="G61" i="2" s="1"/>
  <c r="F61" i="2"/>
  <c r="M61" i="2" s="1"/>
  <c r="I59" i="2"/>
  <c r="E59" i="2"/>
  <c r="D59" i="2"/>
  <c r="C59" i="2"/>
  <c r="B59" i="2"/>
  <c r="H58" i="2"/>
  <c r="G58" i="2" s="1"/>
  <c r="H57" i="2"/>
  <c r="G57" i="2" s="1"/>
  <c r="H56" i="2"/>
  <c r="G56" i="2" s="1"/>
  <c r="F56" i="2"/>
  <c r="H55" i="2"/>
  <c r="G55" i="2" s="1"/>
  <c r="F55" i="2"/>
  <c r="M55" i="2" s="1"/>
  <c r="H54" i="2"/>
  <c r="G54" i="2" s="1"/>
  <c r="F54" i="2"/>
  <c r="H53" i="2"/>
  <c r="G53" i="2" s="1"/>
  <c r="H52" i="2"/>
  <c r="G52" i="2" s="1"/>
  <c r="H51" i="2"/>
  <c r="G51" i="2" s="1"/>
  <c r="I49" i="2"/>
  <c r="E49" i="2"/>
  <c r="D49" i="2"/>
  <c r="C49" i="2"/>
  <c r="B49" i="2"/>
  <c r="H48" i="2"/>
  <c r="G48" i="2" s="1"/>
  <c r="H47" i="2"/>
  <c r="G47" i="2" s="1"/>
  <c r="F47" i="2"/>
  <c r="H46" i="2"/>
  <c r="G46" i="2" s="1"/>
  <c r="H45" i="2"/>
  <c r="G45" i="2" s="1"/>
  <c r="H44" i="2"/>
  <c r="G44" i="2" s="1"/>
  <c r="F44" i="2"/>
  <c r="M44" i="2" s="1"/>
  <c r="H43" i="2"/>
  <c r="G43" i="2" s="1"/>
  <c r="F43" i="2"/>
  <c r="M43" i="2" s="1"/>
  <c r="H42" i="2"/>
  <c r="G42" i="2" s="1"/>
  <c r="F42" i="2"/>
  <c r="M42" i="2" s="1"/>
  <c r="H41" i="2"/>
  <c r="G41" i="2" s="1"/>
  <c r="F41" i="2"/>
  <c r="H40" i="2"/>
  <c r="G40" i="2" s="1"/>
  <c r="H39" i="2"/>
  <c r="G39" i="2" s="1"/>
  <c r="I37" i="2"/>
  <c r="E37" i="2"/>
  <c r="D37" i="2"/>
  <c r="C37" i="2"/>
  <c r="B37" i="2"/>
  <c r="H35" i="2"/>
  <c r="G35" i="2" s="1"/>
  <c r="H34" i="2"/>
  <c r="G34" i="2" s="1"/>
  <c r="F34" i="2"/>
  <c r="H33" i="2"/>
  <c r="G33" i="2"/>
  <c r="H32" i="2"/>
  <c r="G32" i="2" s="1"/>
  <c r="H31" i="2"/>
  <c r="G31" i="2" s="1"/>
  <c r="F31" i="2"/>
  <c r="M31" i="2" s="1"/>
  <c r="H30" i="2"/>
  <c r="G30" i="2" s="1"/>
  <c r="F30" i="2"/>
  <c r="M30" i="2" s="1"/>
  <c r="H29" i="2"/>
  <c r="G29" i="2" s="1"/>
  <c r="F29" i="2"/>
  <c r="H28" i="2"/>
  <c r="G28" i="2" s="1"/>
  <c r="H27" i="2"/>
  <c r="F27" i="2"/>
  <c r="I25" i="2"/>
  <c r="E25" i="2"/>
  <c r="D25" i="2"/>
  <c r="C25" i="2"/>
  <c r="B25" i="2"/>
  <c r="H23" i="2"/>
  <c r="G23" i="2" s="1"/>
  <c r="F23" i="2"/>
  <c r="M23" i="2" s="1"/>
  <c r="H22" i="2"/>
  <c r="G22" i="2" s="1"/>
  <c r="H21" i="2"/>
  <c r="G21" i="2" s="1"/>
  <c r="H20" i="2"/>
  <c r="G20" i="2" s="1"/>
  <c r="F20" i="2"/>
  <c r="H19" i="2"/>
  <c r="G19" i="2" s="1"/>
  <c r="F19" i="2"/>
  <c r="M19" i="2" s="1"/>
  <c r="H18" i="2"/>
  <c r="G18" i="2" s="1"/>
  <c r="F18" i="2"/>
  <c r="H17" i="2"/>
  <c r="G17" i="2" s="1"/>
  <c r="H16" i="2"/>
  <c r="G16" i="2" s="1"/>
  <c r="H15" i="2"/>
  <c r="G15" i="2" s="1"/>
  <c r="F15" i="2"/>
  <c r="I13" i="2"/>
  <c r="E13" i="2"/>
  <c r="D13" i="2"/>
  <c r="C13" i="2"/>
  <c r="B13" i="2"/>
  <c r="H12" i="2"/>
  <c r="G12" i="2" s="1"/>
  <c r="H11" i="2"/>
  <c r="G11" i="2" s="1"/>
  <c r="H10" i="2"/>
  <c r="G10" i="2" s="1"/>
  <c r="F10" i="2"/>
  <c r="M10" i="2" s="1"/>
  <c r="H9" i="2"/>
  <c r="G9" i="2" s="1"/>
  <c r="H8" i="2"/>
  <c r="G8" i="2" s="1"/>
  <c r="F8" i="2"/>
  <c r="H7" i="2"/>
  <c r="G7" i="2" s="1"/>
  <c r="F7" i="2"/>
  <c r="M7" i="2" s="1"/>
  <c r="H6" i="2"/>
  <c r="G6" i="2" s="1"/>
  <c r="H5" i="2"/>
  <c r="G5" i="2" s="1"/>
  <c r="H4" i="2"/>
  <c r="G4" i="2" s="1"/>
  <c r="F4" i="2"/>
  <c r="M4" i="2" s="1"/>
  <c r="H3" i="2"/>
  <c r="F3" i="2"/>
  <c r="I96" i="1"/>
  <c r="I90" i="1"/>
  <c r="F90" i="1"/>
  <c r="E90" i="1"/>
  <c r="D90" i="1"/>
  <c r="C90" i="1"/>
  <c r="B90" i="1"/>
  <c r="H89" i="1"/>
  <c r="G89" i="1" s="1"/>
  <c r="H88" i="1"/>
  <c r="G88" i="1" s="1"/>
  <c r="H87" i="1"/>
  <c r="G87" i="1" s="1"/>
  <c r="H86" i="1"/>
  <c r="G86" i="1" s="1"/>
  <c r="H85" i="1"/>
  <c r="G85" i="1" s="1"/>
  <c r="H84" i="1"/>
  <c r="G84" i="1" s="1"/>
  <c r="H83" i="1"/>
  <c r="G83" i="1" s="1"/>
  <c r="H82" i="1"/>
  <c r="I80" i="1"/>
  <c r="F80" i="1"/>
  <c r="E80" i="1"/>
  <c r="D80" i="1"/>
  <c r="C80" i="1"/>
  <c r="B80" i="1"/>
  <c r="H79" i="1"/>
  <c r="G79" i="1" s="1"/>
  <c r="H78" i="1"/>
  <c r="G78" i="1" s="1"/>
  <c r="H77" i="1"/>
  <c r="G77" i="1" s="1"/>
  <c r="H76" i="1"/>
  <c r="G76" i="1" s="1"/>
  <c r="H75" i="1"/>
  <c r="G75" i="1" s="1"/>
  <c r="H74" i="1"/>
  <c r="G74" i="1" s="1"/>
  <c r="H73" i="1"/>
  <c r="G73" i="1" s="1"/>
  <c r="H72" i="1"/>
  <c r="G72" i="1" s="1"/>
  <c r="H71" i="1"/>
  <c r="G71" i="1" s="1"/>
  <c r="H70" i="1"/>
  <c r="G70" i="1" s="1"/>
  <c r="H69" i="1"/>
  <c r="I67" i="1"/>
  <c r="F67" i="1"/>
  <c r="E67" i="1"/>
  <c r="D67" i="1"/>
  <c r="C67" i="1"/>
  <c r="B67" i="1"/>
  <c r="H66" i="1"/>
  <c r="G66" i="1" s="1"/>
  <c r="H65" i="1"/>
  <c r="G65" i="1" s="1"/>
  <c r="H64" i="1"/>
  <c r="G64" i="1" s="1"/>
  <c r="H63" i="1"/>
  <c r="G63" i="1" s="1"/>
  <c r="H62" i="1"/>
  <c r="G62" i="1" s="1"/>
  <c r="H61" i="1"/>
  <c r="G61" i="1" s="1"/>
  <c r="H60" i="1"/>
  <c r="G60" i="1" s="1"/>
  <c r="H59" i="1"/>
  <c r="G59" i="1" s="1"/>
  <c r="H58" i="1"/>
  <c r="G58" i="1" s="1"/>
  <c r="H57" i="1"/>
  <c r="I55" i="1"/>
  <c r="F55" i="1"/>
  <c r="E55" i="1"/>
  <c r="D55" i="1"/>
  <c r="C55" i="1"/>
  <c r="B55" i="1"/>
  <c r="H54" i="1"/>
  <c r="G54" i="1" s="1"/>
  <c r="H53" i="1"/>
  <c r="G53" i="1" s="1"/>
  <c r="H52" i="1"/>
  <c r="G52" i="1" s="1"/>
  <c r="H51" i="1"/>
  <c r="G51" i="1" s="1"/>
  <c r="H50" i="1"/>
  <c r="G50" i="1" s="1"/>
  <c r="H49" i="1"/>
  <c r="G49" i="1" s="1"/>
  <c r="H48" i="1"/>
  <c r="G48" i="1" s="1"/>
  <c r="H47" i="1"/>
  <c r="G47" i="1" s="1"/>
  <c r="H46" i="1"/>
  <c r="I44" i="1"/>
  <c r="E44" i="1"/>
  <c r="D44" i="1"/>
  <c r="C44" i="1"/>
  <c r="B44" i="1"/>
  <c r="H43" i="1"/>
  <c r="G43" i="1" s="1"/>
  <c r="H42" i="1"/>
  <c r="G42" i="1" s="1"/>
  <c r="H41" i="1"/>
  <c r="G41" i="1" s="1"/>
  <c r="H40" i="1"/>
  <c r="G40" i="1" s="1"/>
  <c r="H39" i="1"/>
  <c r="G39" i="1" s="1"/>
  <c r="H38" i="1"/>
  <c r="G38" i="1" s="1"/>
  <c r="H37" i="1"/>
  <c r="G37" i="1" s="1"/>
  <c r="F37" i="1"/>
  <c r="H36" i="1"/>
  <c r="G36" i="1" s="1"/>
  <c r="H35" i="1"/>
  <c r="G35" i="1" s="1"/>
  <c r="I33" i="1"/>
  <c r="F33" i="1"/>
  <c r="E33" i="1"/>
  <c r="D33" i="1"/>
  <c r="C33" i="1"/>
  <c r="B33" i="1"/>
  <c r="F32" i="1"/>
  <c r="H31" i="1"/>
  <c r="G31" i="1" s="1"/>
  <c r="H30" i="1"/>
  <c r="G30" i="1" s="1"/>
  <c r="H29" i="1"/>
  <c r="G29" i="1" s="1"/>
  <c r="H28" i="1"/>
  <c r="G28" i="1" s="1"/>
  <c r="H27" i="1"/>
  <c r="G27" i="1" s="1"/>
  <c r="H26" i="1"/>
  <c r="G26" i="1" s="1"/>
  <c r="H25" i="1"/>
  <c r="G25" i="1" s="1"/>
  <c r="H24" i="1"/>
  <c r="G24" i="1" s="1"/>
  <c r="I22" i="1"/>
  <c r="F22" i="1"/>
  <c r="E22" i="1"/>
  <c r="D22" i="1"/>
  <c r="C22" i="1"/>
  <c r="B22" i="1"/>
  <c r="F21" i="1"/>
  <c r="H20" i="1"/>
  <c r="G20" i="1" s="1"/>
  <c r="H19" i="1"/>
  <c r="G19" i="1" s="1"/>
  <c r="H18" i="1"/>
  <c r="G18" i="1" s="1"/>
  <c r="H17" i="1"/>
  <c r="G17" i="1" s="1"/>
  <c r="H16" i="1"/>
  <c r="G16" i="1" s="1"/>
  <c r="H15" i="1"/>
  <c r="G15" i="1" s="1"/>
  <c r="H14" i="1"/>
  <c r="G14" i="1" s="1"/>
  <c r="H13" i="1"/>
  <c r="I11" i="1"/>
  <c r="F11" i="1"/>
  <c r="E11" i="1"/>
  <c r="D11" i="1"/>
  <c r="C11" i="1"/>
  <c r="B11" i="1"/>
  <c r="H10" i="1"/>
  <c r="G10" i="1" s="1"/>
  <c r="H9" i="1"/>
  <c r="G9" i="1" s="1"/>
  <c r="H8" i="1"/>
  <c r="G8" i="1" s="1"/>
  <c r="H7" i="1"/>
  <c r="G7" i="1" s="1"/>
  <c r="H6" i="1"/>
  <c r="G6" i="1" s="1"/>
  <c r="H5" i="1"/>
  <c r="G5" i="1" s="1"/>
  <c r="H4" i="1"/>
  <c r="G4" i="1" s="1"/>
  <c r="H3" i="1"/>
  <c r="G3" i="1" s="1"/>
  <c r="AA2" i="2" l="1"/>
  <c r="G19" i="16" s="1"/>
  <c r="B26" i="16"/>
  <c r="D26" i="16"/>
  <c r="Y4" i="5"/>
  <c r="E26" i="16" s="1"/>
  <c r="B33" i="16"/>
  <c r="D33" i="16"/>
  <c r="Y4" i="6"/>
  <c r="E33" i="16" s="1"/>
  <c r="B29" i="16"/>
  <c r="D29" i="16"/>
  <c r="Y4" i="7"/>
  <c r="E29" i="16" s="1"/>
  <c r="B34" i="16"/>
  <c r="D34" i="16"/>
  <c r="Y4" i="8"/>
  <c r="E34" i="16" s="1"/>
  <c r="B35" i="16"/>
  <c r="D35" i="16"/>
  <c r="Y4" i="9"/>
  <c r="E35" i="16" s="1"/>
  <c r="B30" i="16"/>
  <c r="D30" i="16"/>
  <c r="Y4" i="10"/>
  <c r="E30" i="16" s="1"/>
  <c r="B32" i="16"/>
  <c r="D32" i="16"/>
  <c r="Y4" i="11"/>
  <c r="E32" i="16" s="1"/>
  <c r="B27" i="16"/>
  <c r="D27" i="16"/>
  <c r="Y4" i="12"/>
  <c r="E27" i="16" s="1"/>
  <c r="B31" i="16"/>
  <c r="D31" i="16"/>
  <c r="Y4" i="2"/>
  <c r="E31" i="16" s="1"/>
  <c r="B28" i="16"/>
  <c r="D28" i="16"/>
  <c r="Y4" i="1"/>
  <c r="E28" i="16" s="1"/>
  <c r="H13" i="11"/>
  <c r="H22" i="10"/>
  <c r="H34" i="10"/>
  <c r="G79" i="5"/>
  <c r="H22" i="1"/>
  <c r="H80" i="1"/>
  <c r="H68" i="7"/>
  <c r="G82" i="7"/>
  <c r="H42" i="8"/>
  <c r="H82" i="9"/>
  <c r="G87" i="11"/>
  <c r="H34" i="5"/>
  <c r="C78" i="12"/>
  <c r="D87" i="12"/>
  <c r="Y2" i="11"/>
  <c r="E20" i="16" s="1"/>
  <c r="Z2" i="2"/>
  <c r="F19" i="16" s="1"/>
  <c r="AA2" i="11"/>
  <c r="G20" i="16" s="1"/>
  <c r="Y2" i="2"/>
  <c r="E19" i="16" s="1"/>
  <c r="Z2" i="11"/>
  <c r="F20" i="16" s="1"/>
  <c r="B94" i="12"/>
  <c r="I94" i="12"/>
  <c r="H94" i="12"/>
  <c r="H95" i="12" s="1"/>
  <c r="H81" i="11"/>
  <c r="D97" i="11"/>
  <c r="M26" i="11"/>
  <c r="M39" i="11"/>
  <c r="H35" i="11"/>
  <c r="M33" i="11"/>
  <c r="M45" i="11"/>
  <c r="H47" i="11"/>
  <c r="H70" i="11"/>
  <c r="G72" i="11"/>
  <c r="B97" i="11"/>
  <c r="G24" i="10"/>
  <c r="M24" i="10"/>
  <c r="M37" i="10"/>
  <c r="M36" i="10"/>
  <c r="M48" i="10"/>
  <c r="M60" i="10"/>
  <c r="M49" i="10"/>
  <c r="M50" i="10"/>
  <c r="M61" i="10"/>
  <c r="M62" i="10"/>
  <c r="M51" i="10"/>
  <c r="M74" i="10"/>
  <c r="M87" i="10"/>
  <c r="M94" i="10"/>
  <c r="M93" i="10"/>
  <c r="M4" i="10"/>
  <c r="M14" i="10"/>
  <c r="M16" i="10"/>
  <c r="M40" i="10"/>
  <c r="M78" i="10"/>
  <c r="M88" i="10"/>
  <c r="M5" i="10"/>
  <c r="M29" i="10"/>
  <c r="M53" i="10"/>
  <c r="M15" i="10"/>
  <c r="M27" i="10"/>
  <c r="M21" i="10"/>
  <c r="M33" i="10"/>
  <c r="M52" i="10"/>
  <c r="M41" i="10"/>
  <c r="M42" i="10"/>
  <c r="M56" i="10"/>
  <c r="M43" i="10"/>
  <c r="M57" i="10"/>
  <c r="M64" i="10"/>
  <c r="M55" i="10"/>
  <c r="M65" i="10"/>
  <c r="M79" i="10"/>
  <c r="M66" i="10"/>
  <c r="M80" i="10"/>
  <c r="F45" i="10"/>
  <c r="G34" i="10"/>
  <c r="F11" i="9"/>
  <c r="M3" i="9"/>
  <c r="M4" i="9"/>
  <c r="M14" i="9"/>
  <c r="F23" i="9"/>
  <c r="M13" i="9"/>
  <c r="M33" i="9"/>
  <c r="M22" i="9"/>
  <c r="F45" i="9"/>
  <c r="M47" i="9"/>
  <c r="M36" i="9"/>
  <c r="H11" i="9"/>
  <c r="M5" i="9"/>
  <c r="M29" i="9"/>
  <c r="M51" i="9"/>
  <c r="M77" i="9"/>
  <c r="M87" i="9"/>
  <c r="M16" i="9"/>
  <c r="M40" i="9"/>
  <c r="G13" i="9"/>
  <c r="G23" i="9" s="1"/>
  <c r="F34" i="9"/>
  <c r="M25" i="9"/>
  <c r="M37" i="9"/>
  <c r="H34" i="9"/>
  <c r="M42" i="9"/>
  <c r="M54" i="9"/>
  <c r="M43" i="9"/>
  <c r="M55" i="9"/>
  <c r="M61" i="9"/>
  <c r="M50" i="9"/>
  <c r="F69" i="9"/>
  <c r="M64" i="9"/>
  <c r="M78" i="9"/>
  <c r="F82" i="9"/>
  <c r="M71" i="9"/>
  <c r="G56" i="9"/>
  <c r="F56" i="9"/>
  <c r="M59" i="9"/>
  <c r="M48" i="9"/>
  <c r="M49" i="9"/>
  <c r="M60" i="9"/>
  <c r="M53" i="9"/>
  <c r="M63" i="9"/>
  <c r="G69" i="9"/>
  <c r="M65" i="9"/>
  <c r="M79" i="9"/>
  <c r="M73" i="9"/>
  <c r="M86" i="9"/>
  <c r="G93" i="9"/>
  <c r="F93" i="9"/>
  <c r="M85" i="9"/>
  <c r="H55" i="8"/>
  <c r="H78" i="8"/>
  <c r="H87" i="8"/>
  <c r="H11" i="8"/>
  <c r="H20" i="8"/>
  <c r="G3" i="8"/>
  <c r="G13" i="8"/>
  <c r="H31" i="8"/>
  <c r="H65" i="8"/>
  <c r="G87" i="8"/>
  <c r="M19" i="8"/>
  <c r="M30" i="8"/>
  <c r="G22" i="8"/>
  <c r="G31" i="8" s="1"/>
  <c r="F42" i="8"/>
  <c r="G45" i="8"/>
  <c r="G55" i="8" s="1"/>
  <c r="C65" i="8"/>
  <c r="C94" i="8" s="1"/>
  <c r="K57" i="8"/>
  <c r="GG57" i="8" s="1"/>
  <c r="K46" i="8"/>
  <c r="G67" i="8"/>
  <c r="G78" i="8" s="1"/>
  <c r="E94" i="8"/>
  <c r="I94" i="8"/>
  <c r="I95" i="8" s="1"/>
  <c r="F65" i="8"/>
  <c r="M58" i="8"/>
  <c r="GG58" i="8" s="1"/>
  <c r="B94" i="8"/>
  <c r="D94" i="8"/>
  <c r="G56" i="7"/>
  <c r="G90" i="7"/>
  <c r="F44" i="7"/>
  <c r="M37" i="7"/>
  <c r="M40" i="7"/>
  <c r="M29" i="7"/>
  <c r="F56" i="7"/>
  <c r="M49" i="7"/>
  <c r="M59" i="7"/>
  <c r="GG59" i="7" s="1"/>
  <c r="H12" i="7"/>
  <c r="H22" i="7"/>
  <c r="M32" i="7"/>
  <c r="M21" i="7"/>
  <c r="F22" i="7"/>
  <c r="M43" i="7"/>
  <c r="M55" i="7"/>
  <c r="G58" i="7"/>
  <c r="F68" i="7"/>
  <c r="E97" i="7"/>
  <c r="M6" i="7"/>
  <c r="M17" i="7"/>
  <c r="G44" i="7"/>
  <c r="I97" i="7"/>
  <c r="I98" i="7" s="1"/>
  <c r="B97" i="7"/>
  <c r="D97" i="7"/>
  <c r="H66" i="6"/>
  <c r="G66" i="6"/>
  <c r="H55" i="6"/>
  <c r="G11" i="6"/>
  <c r="G44" i="6"/>
  <c r="F44" i="6"/>
  <c r="G46" i="6"/>
  <c r="G55" i="6" s="1"/>
  <c r="C94" i="6"/>
  <c r="E94" i="6"/>
  <c r="I94" i="6"/>
  <c r="I95" i="6" s="1"/>
  <c r="D66" i="12"/>
  <c r="F44" i="5"/>
  <c r="H55" i="5"/>
  <c r="F85" i="12"/>
  <c r="M85" i="12" s="1"/>
  <c r="G24" i="5"/>
  <c r="G34" i="5" s="1"/>
  <c r="G67" i="5"/>
  <c r="F18" i="12"/>
  <c r="F25" i="12"/>
  <c r="F37" i="12"/>
  <c r="F48" i="12"/>
  <c r="G11" i="5"/>
  <c r="G55" i="5"/>
  <c r="F55" i="5"/>
  <c r="M50" i="5"/>
  <c r="M61" i="5"/>
  <c r="F79" i="5"/>
  <c r="M73" i="5"/>
  <c r="M85" i="5"/>
  <c r="F8" i="12"/>
  <c r="L8" i="12"/>
  <c r="G10" i="12"/>
  <c r="K10" i="12"/>
  <c r="F13" i="12"/>
  <c r="M13" i="12" s="1"/>
  <c r="K13" i="12"/>
  <c r="E21" i="12"/>
  <c r="F15" i="12"/>
  <c r="K15" i="12"/>
  <c r="M15" i="12"/>
  <c r="C32" i="12"/>
  <c r="K23" i="12"/>
  <c r="K35" i="12"/>
  <c r="E32" i="12"/>
  <c r="F29" i="12"/>
  <c r="M29" i="12" s="1"/>
  <c r="L29" i="12"/>
  <c r="F39" i="12"/>
  <c r="L39" i="12"/>
  <c r="L51" i="12"/>
  <c r="F40" i="12"/>
  <c r="K40" i="12"/>
  <c r="K53" i="12"/>
  <c r="C54" i="12"/>
  <c r="K46" i="12"/>
  <c r="K56" i="12"/>
  <c r="E54" i="12"/>
  <c r="L47" i="12"/>
  <c r="L57" i="12"/>
  <c r="L61" i="12"/>
  <c r="L50" i="12"/>
  <c r="F52" i="12"/>
  <c r="K52" i="12"/>
  <c r="M52" i="12"/>
  <c r="F58" i="12"/>
  <c r="M58" i="12" s="1"/>
  <c r="K58" i="12"/>
  <c r="G60" i="12"/>
  <c r="K60" i="12"/>
  <c r="K49" i="12"/>
  <c r="G62" i="12"/>
  <c r="K62" i="12"/>
  <c r="K73" i="12"/>
  <c r="G64" i="12"/>
  <c r="K64" i="12"/>
  <c r="F72" i="12"/>
  <c r="L72" i="12"/>
  <c r="L84" i="12"/>
  <c r="F75" i="12"/>
  <c r="K75" i="12"/>
  <c r="M75" i="12"/>
  <c r="F77" i="12"/>
  <c r="L77" i="12"/>
  <c r="C87" i="12"/>
  <c r="K83" i="12"/>
  <c r="M62" i="5"/>
  <c r="M51" i="5"/>
  <c r="H67" i="5"/>
  <c r="D11" i="12"/>
  <c r="L3" i="12"/>
  <c r="M4" i="12"/>
  <c r="M16" i="12"/>
  <c r="G5" i="12"/>
  <c r="K18" i="12"/>
  <c r="K48" i="12"/>
  <c r="K5" i="12"/>
  <c r="K25" i="12"/>
  <c r="K37" i="12"/>
  <c r="K71" i="12"/>
  <c r="K81" i="12"/>
  <c r="G22" i="5"/>
  <c r="M21" i="5"/>
  <c r="M33" i="5"/>
  <c r="G44" i="5"/>
  <c r="B95" i="5"/>
  <c r="D95" i="5"/>
  <c r="C11" i="12"/>
  <c r="K3" i="12"/>
  <c r="E11" i="12"/>
  <c r="L5" i="12"/>
  <c r="L25" i="12"/>
  <c r="L37" i="12"/>
  <c r="L71" i="12"/>
  <c r="L81" i="12"/>
  <c r="L18" i="12"/>
  <c r="L48" i="12"/>
  <c r="G6" i="12"/>
  <c r="K6" i="12"/>
  <c r="G7" i="12"/>
  <c r="K7" i="12"/>
  <c r="M8" i="12"/>
  <c r="F9" i="12"/>
  <c r="M9" i="12" s="1"/>
  <c r="K9" i="12"/>
  <c r="D21" i="12"/>
  <c r="L13" i="12"/>
  <c r="G14" i="12"/>
  <c r="K14" i="12"/>
  <c r="G17" i="12"/>
  <c r="K17" i="12"/>
  <c r="F20" i="12"/>
  <c r="M20" i="12" s="1"/>
  <c r="L20" i="12"/>
  <c r="D32" i="12"/>
  <c r="L23" i="12"/>
  <c r="L35" i="12"/>
  <c r="F24" i="12"/>
  <c r="M24" i="12" s="1"/>
  <c r="K24" i="12"/>
  <c r="F26" i="12"/>
  <c r="M26" i="12" s="1"/>
  <c r="F27" i="12"/>
  <c r="M27" i="12" s="1"/>
  <c r="K27" i="12"/>
  <c r="F34" i="12"/>
  <c r="L45" i="12"/>
  <c r="L34" i="12"/>
  <c r="C42" i="12"/>
  <c r="K36" i="12"/>
  <c r="F38" i="12"/>
  <c r="M38" i="12" s="1"/>
  <c r="K38" i="12"/>
  <c r="F41" i="12"/>
  <c r="M41" i="12" s="1"/>
  <c r="L46" i="12"/>
  <c r="L56" i="12"/>
  <c r="F47" i="12"/>
  <c r="M47" i="12" s="1"/>
  <c r="K57" i="12"/>
  <c r="K47" i="12"/>
  <c r="M57" i="12"/>
  <c r="F49" i="12"/>
  <c r="L49" i="12"/>
  <c r="L60" i="12"/>
  <c r="F50" i="12"/>
  <c r="K50" i="12"/>
  <c r="K61" i="12"/>
  <c r="C66" i="12"/>
  <c r="E66" i="12"/>
  <c r="F59" i="12"/>
  <c r="M59" i="12" s="1"/>
  <c r="L59" i="12"/>
  <c r="F61" i="12"/>
  <c r="L73" i="12"/>
  <c r="L62" i="12"/>
  <c r="F63" i="12"/>
  <c r="K74" i="12"/>
  <c r="K63" i="12"/>
  <c r="F65" i="12"/>
  <c r="M65" i="12" s="1"/>
  <c r="L65" i="12"/>
  <c r="E78" i="12"/>
  <c r="F69" i="12"/>
  <c r="M69" i="12" s="1"/>
  <c r="F70" i="12"/>
  <c r="M70" i="12" s="1"/>
  <c r="F71" i="12"/>
  <c r="G76" i="12"/>
  <c r="K76" i="12"/>
  <c r="M77" i="12"/>
  <c r="E87" i="12"/>
  <c r="F82" i="12"/>
  <c r="M82" i="12" s="1"/>
  <c r="L82" i="12"/>
  <c r="F83" i="12"/>
  <c r="M83" i="12" s="1"/>
  <c r="L83" i="12"/>
  <c r="G84" i="12"/>
  <c r="K72" i="12"/>
  <c r="K84" i="12"/>
  <c r="G86" i="12"/>
  <c r="K86" i="12"/>
  <c r="G13" i="1"/>
  <c r="G22" i="1" s="1"/>
  <c r="H11" i="1"/>
  <c r="G44" i="1"/>
  <c r="G11" i="1"/>
  <c r="M21" i="1"/>
  <c r="M32" i="1"/>
  <c r="F44" i="1"/>
  <c r="M37" i="1"/>
  <c r="H67" i="1"/>
  <c r="M37" i="11"/>
  <c r="M50" i="11"/>
  <c r="M57" i="11"/>
  <c r="M46" i="11"/>
  <c r="H37" i="2"/>
  <c r="M9" i="11"/>
  <c r="M17" i="11"/>
  <c r="M53" i="11"/>
  <c r="M63" i="11"/>
  <c r="M72" i="11"/>
  <c r="M83" i="11"/>
  <c r="H13" i="2"/>
  <c r="F54" i="11"/>
  <c r="M54" i="11" s="1"/>
  <c r="F84" i="11"/>
  <c r="M84" i="11" s="1"/>
  <c r="M55" i="11"/>
  <c r="M65" i="11"/>
  <c r="M78" i="11"/>
  <c r="M89" i="11"/>
  <c r="F13" i="2"/>
  <c r="M15" i="2"/>
  <c r="M3" i="2"/>
  <c r="F25" i="2"/>
  <c r="M29" i="2"/>
  <c r="M18" i="2"/>
  <c r="M54" i="2"/>
  <c r="M64" i="2"/>
  <c r="G3" i="2"/>
  <c r="M8" i="2"/>
  <c r="M20" i="2"/>
  <c r="F37" i="2"/>
  <c r="M27" i="2"/>
  <c r="M41" i="2"/>
  <c r="F49" i="2"/>
  <c r="H59" i="2"/>
  <c r="G59" i="2"/>
  <c r="M56" i="2"/>
  <c r="M66" i="2"/>
  <c r="F71" i="2"/>
  <c r="I98" i="2"/>
  <c r="I99" i="2" s="1"/>
  <c r="F91" i="2"/>
  <c r="G4" i="11"/>
  <c r="K4" i="11"/>
  <c r="F5" i="11"/>
  <c r="M5" i="11" s="1"/>
  <c r="K5" i="11"/>
  <c r="F7" i="11"/>
  <c r="M7" i="11" s="1"/>
  <c r="K7" i="11"/>
  <c r="G16" i="11"/>
  <c r="K16" i="11"/>
  <c r="F18" i="11"/>
  <c r="K18" i="11"/>
  <c r="K28" i="11"/>
  <c r="F19" i="11"/>
  <c r="M19" i="11" s="1"/>
  <c r="K19" i="11"/>
  <c r="F20" i="11"/>
  <c r="K8" i="11"/>
  <c r="K20" i="11"/>
  <c r="F22" i="11"/>
  <c r="M22" i="11" s="1"/>
  <c r="K22" i="11"/>
  <c r="G28" i="11"/>
  <c r="F30" i="11"/>
  <c r="M30" i="11" s="1"/>
  <c r="K30" i="11"/>
  <c r="F31" i="11"/>
  <c r="M31" i="11" s="1"/>
  <c r="K31" i="11"/>
  <c r="G44" i="11"/>
  <c r="K44" i="11"/>
  <c r="G52" i="11"/>
  <c r="K52" i="11"/>
  <c r="K62" i="11"/>
  <c r="G54" i="11"/>
  <c r="G56" i="11"/>
  <c r="K56" i="11"/>
  <c r="F60" i="11"/>
  <c r="K60" i="11"/>
  <c r="F64" i="11"/>
  <c r="M64" i="11" s="1"/>
  <c r="K64" i="11"/>
  <c r="G66" i="11"/>
  <c r="K66" i="11"/>
  <c r="F67" i="11"/>
  <c r="K67" i="11"/>
  <c r="K77" i="11"/>
  <c r="F69" i="11"/>
  <c r="M69" i="11" s="1"/>
  <c r="K69" i="11"/>
  <c r="C81" i="11"/>
  <c r="K73" i="11"/>
  <c r="F76" i="11"/>
  <c r="M76" i="11" s="1"/>
  <c r="K76" i="11"/>
  <c r="F79" i="11"/>
  <c r="M79" i="11" s="1"/>
  <c r="K79" i="11"/>
  <c r="G84" i="11"/>
  <c r="F85" i="11"/>
  <c r="M85" i="11" s="1"/>
  <c r="F87" i="11"/>
  <c r="M87" i="11" s="1"/>
  <c r="K87" i="11"/>
  <c r="M47" i="2"/>
  <c r="M34" i="2"/>
  <c r="G82" i="2"/>
  <c r="F82" i="2"/>
  <c r="M74" i="2"/>
  <c r="M90" i="2"/>
  <c r="M79" i="2"/>
  <c r="C98" i="2"/>
  <c r="E98" i="2"/>
  <c r="F3" i="11"/>
  <c r="K3" i="11"/>
  <c r="K15" i="11"/>
  <c r="G11" i="11"/>
  <c r="K11" i="11"/>
  <c r="F12" i="11"/>
  <c r="M12" i="11" s="1"/>
  <c r="K12" i="11"/>
  <c r="C35" i="11"/>
  <c r="K38" i="11"/>
  <c r="K27" i="11"/>
  <c r="G41" i="11"/>
  <c r="K41" i="11"/>
  <c r="F42" i="11"/>
  <c r="M42" i="11" s="1"/>
  <c r="K42" i="11"/>
  <c r="F43" i="11"/>
  <c r="M43" i="11" s="1"/>
  <c r="K43" i="11"/>
  <c r="C58" i="11"/>
  <c r="K51" i="11"/>
  <c r="K61" i="11"/>
  <c r="M52" i="11"/>
  <c r="M62" i="11"/>
  <c r="K55" i="11"/>
  <c r="K65" i="11"/>
  <c r="G55" i="11"/>
  <c r="G85" i="11"/>
  <c r="K78" i="11"/>
  <c r="K89" i="11"/>
  <c r="G89" i="11"/>
  <c r="C90" i="11"/>
  <c r="F11" i="10"/>
  <c r="F22" i="10"/>
  <c r="F58" i="10"/>
  <c r="F70" i="10"/>
  <c r="F83" i="10"/>
  <c r="C101" i="10"/>
  <c r="E101" i="10"/>
  <c r="H11" i="10"/>
  <c r="G13" i="10"/>
  <c r="G22" i="10" s="1"/>
  <c r="F34" i="10"/>
  <c r="H83" i="10"/>
  <c r="I101" i="10"/>
  <c r="I102" i="10" s="1"/>
  <c r="F94" i="10"/>
  <c r="B101" i="10"/>
  <c r="D101" i="10"/>
  <c r="H44" i="1"/>
  <c r="B97" i="1"/>
  <c r="D97" i="1"/>
  <c r="F97" i="1"/>
  <c r="F98" i="1" s="1"/>
  <c r="C97" i="1"/>
  <c r="E97" i="1"/>
  <c r="I97" i="1"/>
  <c r="I98" i="1" s="1"/>
  <c r="H55" i="1"/>
  <c r="H90" i="1"/>
  <c r="F95" i="5"/>
  <c r="F96" i="5" s="1"/>
  <c r="G33" i="1"/>
  <c r="G13" i="2"/>
  <c r="G25" i="2"/>
  <c r="H33" i="1"/>
  <c r="H25" i="2"/>
  <c r="H71" i="2"/>
  <c r="B98" i="2"/>
  <c r="D98" i="2"/>
  <c r="H22" i="5"/>
  <c r="H44" i="5"/>
  <c r="I95" i="5"/>
  <c r="H21" i="6"/>
  <c r="G13" i="6"/>
  <c r="G21" i="6" s="1"/>
  <c r="H33" i="6"/>
  <c r="G23" i="6"/>
  <c r="G33" i="6" s="1"/>
  <c r="H87" i="6"/>
  <c r="G80" i="6"/>
  <c r="G87" i="6" s="1"/>
  <c r="F97" i="7"/>
  <c r="F98" i="7" s="1"/>
  <c r="H94" i="8"/>
  <c r="H95" i="8" s="1"/>
  <c r="G46" i="1"/>
  <c r="G55" i="1" s="1"/>
  <c r="G57" i="1"/>
  <c r="G67" i="1" s="1"/>
  <c r="G69" i="1"/>
  <c r="G80" i="1" s="1"/>
  <c r="G82" i="1"/>
  <c r="G90" i="1" s="1"/>
  <c r="G27" i="2"/>
  <c r="G37" i="2" s="1"/>
  <c r="G49" i="2"/>
  <c r="H49" i="2"/>
  <c r="F59" i="2"/>
  <c r="G71" i="2"/>
  <c r="H82" i="2"/>
  <c r="G91" i="2"/>
  <c r="H91" i="2"/>
  <c r="H11" i="5"/>
  <c r="H79" i="5"/>
  <c r="G88" i="5"/>
  <c r="C95" i="5"/>
  <c r="E95" i="5"/>
  <c r="H88" i="5"/>
  <c r="H11" i="6"/>
  <c r="H44" i="6"/>
  <c r="B94" i="6"/>
  <c r="D94" i="6"/>
  <c r="F94" i="6"/>
  <c r="F95" i="6" s="1"/>
  <c r="G12" i="7"/>
  <c r="G33" i="7"/>
  <c r="G68" i="7"/>
  <c r="G80" i="7"/>
  <c r="GG55" i="8"/>
  <c r="F94" i="8"/>
  <c r="F95" i="8" s="1"/>
  <c r="H33" i="7"/>
  <c r="H44" i="7"/>
  <c r="H56" i="7"/>
  <c r="GG58" i="7"/>
  <c r="H80" i="7"/>
  <c r="C97" i="7"/>
  <c r="G33" i="8"/>
  <c r="G42" i="8" s="1"/>
  <c r="G57" i="8"/>
  <c r="G65" i="8" s="1"/>
  <c r="G3" i="9"/>
  <c r="G11" i="9" s="1"/>
  <c r="G26" i="9"/>
  <c r="G34" i="9" s="1"/>
  <c r="H45" i="9"/>
  <c r="G36" i="9"/>
  <c r="G45" i="9" s="1"/>
  <c r="C100" i="9"/>
  <c r="E100" i="9"/>
  <c r="G45" i="10"/>
  <c r="G58" i="10"/>
  <c r="G70" i="10"/>
  <c r="G94" i="10"/>
  <c r="G14" i="7"/>
  <c r="G22" i="7" s="1"/>
  <c r="I100" i="9"/>
  <c r="I101" i="9" s="1"/>
  <c r="F100" i="9"/>
  <c r="F101" i="9" s="1"/>
  <c r="B100" i="9"/>
  <c r="D100" i="9"/>
  <c r="H56" i="9"/>
  <c r="H69" i="9"/>
  <c r="H93" i="9"/>
  <c r="H45" i="10"/>
  <c r="H58" i="10"/>
  <c r="H70" i="10"/>
  <c r="H94" i="10"/>
  <c r="G3" i="11"/>
  <c r="G5" i="11"/>
  <c r="G7" i="11"/>
  <c r="G12" i="11"/>
  <c r="C13" i="11"/>
  <c r="G18" i="11"/>
  <c r="G19" i="11"/>
  <c r="G20" i="11"/>
  <c r="G22" i="11"/>
  <c r="C24" i="11"/>
  <c r="G27" i="11"/>
  <c r="G30" i="11"/>
  <c r="G31" i="11"/>
  <c r="G42" i="11"/>
  <c r="G43" i="11"/>
  <c r="C47" i="11"/>
  <c r="F47" i="11" s="1"/>
  <c r="G51" i="11"/>
  <c r="H58" i="11"/>
  <c r="H97" i="11" s="1"/>
  <c r="H98" i="11" s="1"/>
  <c r="G60" i="11"/>
  <c r="G61" i="11"/>
  <c r="G64" i="11"/>
  <c r="G67" i="11"/>
  <c r="G69" i="11"/>
  <c r="C70" i="11"/>
  <c r="G73" i="11"/>
  <c r="G76" i="11"/>
  <c r="G77" i="11"/>
  <c r="G79" i="11"/>
  <c r="E97" i="11"/>
  <c r="E98" i="11" s="1"/>
  <c r="I97" i="11"/>
  <c r="I98" i="11" s="1"/>
  <c r="E94" i="12"/>
  <c r="G71" i="9"/>
  <c r="G82" i="9" s="1"/>
  <c r="G3" i="10"/>
  <c r="G11" i="10" s="1"/>
  <c r="G72" i="10"/>
  <c r="G83" i="10" s="1"/>
  <c r="F27" i="11"/>
  <c r="G37" i="11"/>
  <c r="F51" i="11"/>
  <c r="F73" i="11"/>
  <c r="G83" i="11"/>
  <c r="F3" i="12"/>
  <c r="M3" i="12" s="1"/>
  <c r="F5" i="12"/>
  <c r="F7" i="12"/>
  <c r="M7" i="12" s="1"/>
  <c r="G9" i="12"/>
  <c r="F10" i="12"/>
  <c r="M10" i="12" s="1"/>
  <c r="G13" i="12"/>
  <c r="F14" i="12"/>
  <c r="G15" i="12"/>
  <c r="F17" i="12"/>
  <c r="M17" i="12" s="1"/>
  <c r="C21" i="12"/>
  <c r="C94" i="12" s="1"/>
  <c r="F23" i="12"/>
  <c r="G24" i="12"/>
  <c r="G27" i="12"/>
  <c r="F36" i="12"/>
  <c r="G38" i="12"/>
  <c r="G40" i="12"/>
  <c r="D42" i="12"/>
  <c r="F46" i="12"/>
  <c r="G47" i="12"/>
  <c r="G50" i="12"/>
  <c r="G52" i="12"/>
  <c r="F53" i="12"/>
  <c r="D54" i="12"/>
  <c r="G56" i="12"/>
  <c r="G58" i="12"/>
  <c r="F60" i="12"/>
  <c r="G61" i="12"/>
  <c r="F62" i="12"/>
  <c r="G63" i="12"/>
  <c r="F64" i="12"/>
  <c r="M64" i="12" s="1"/>
  <c r="G73" i="12"/>
  <c r="F74" i="12"/>
  <c r="G75" i="12"/>
  <c r="F76" i="12"/>
  <c r="M76" i="12" s="1"/>
  <c r="D78" i="12"/>
  <c r="D94" i="12" s="1"/>
  <c r="F81" i="12"/>
  <c r="G83" i="12"/>
  <c r="F84" i="12"/>
  <c r="F86" i="12"/>
  <c r="G3" i="12"/>
  <c r="G11" i="12" s="1"/>
  <c r="G23" i="12"/>
  <c r="G36" i="12"/>
  <c r="G46" i="12"/>
  <c r="F56" i="12"/>
  <c r="F66" i="12" s="1"/>
  <c r="F68" i="12"/>
  <c r="M80" i="12" s="1"/>
  <c r="F73" i="12"/>
  <c r="AA4" i="1" l="1"/>
  <c r="G28" i="16" s="1"/>
  <c r="AA4" i="2"/>
  <c r="G31" i="16" s="1"/>
  <c r="AA4" i="12"/>
  <c r="G27" i="16" s="1"/>
  <c r="AA4" i="11"/>
  <c r="G32" i="16" s="1"/>
  <c r="AA4" i="10"/>
  <c r="G30" i="16" s="1"/>
  <c r="AA4" i="9"/>
  <c r="G35" i="16" s="1"/>
  <c r="AA4" i="8"/>
  <c r="G34" i="16" s="1"/>
  <c r="AA4" i="7"/>
  <c r="G29" i="16" s="1"/>
  <c r="AA4" i="6"/>
  <c r="G33" i="16" s="1"/>
  <c r="AA4" i="5"/>
  <c r="G26" i="16" s="1"/>
  <c r="G95" i="5"/>
  <c r="G96" i="5" s="1"/>
  <c r="D98" i="11"/>
  <c r="L97" i="11"/>
  <c r="P2" i="11" s="1"/>
  <c r="F101" i="10"/>
  <c r="F102" i="10" s="1"/>
  <c r="G100" i="9"/>
  <c r="G101" i="9" s="1"/>
  <c r="C101" i="9"/>
  <c r="K100" i="9"/>
  <c r="D101" i="9"/>
  <c r="L100" i="9"/>
  <c r="P2" i="9" s="1"/>
  <c r="E101" i="9"/>
  <c r="M100" i="9"/>
  <c r="G11" i="8"/>
  <c r="G20" i="8"/>
  <c r="D95" i="8"/>
  <c r="L94" i="8"/>
  <c r="P2" i="8" s="1"/>
  <c r="E95" i="8"/>
  <c r="M94" i="8"/>
  <c r="C95" i="8"/>
  <c r="K94" i="8"/>
  <c r="E98" i="7"/>
  <c r="M97" i="7"/>
  <c r="C98" i="7"/>
  <c r="K97" i="7"/>
  <c r="G97" i="7"/>
  <c r="G98" i="7" s="1"/>
  <c r="D98" i="7"/>
  <c r="L97" i="7"/>
  <c r="P2" i="7" s="1"/>
  <c r="H97" i="7"/>
  <c r="H98" i="7" s="1"/>
  <c r="G94" i="6"/>
  <c r="G95" i="6" s="1"/>
  <c r="D95" i="6"/>
  <c r="L94" i="6"/>
  <c r="P2" i="6" s="1"/>
  <c r="E95" i="6"/>
  <c r="M94" i="6"/>
  <c r="C95" i="6"/>
  <c r="K94" i="6"/>
  <c r="G42" i="12"/>
  <c r="F32" i="12"/>
  <c r="M56" i="12"/>
  <c r="M18" i="12"/>
  <c r="M73" i="12"/>
  <c r="M61" i="12"/>
  <c r="C95" i="12"/>
  <c r="K94" i="12"/>
  <c r="M50" i="12"/>
  <c r="M60" i="12"/>
  <c r="M49" i="12"/>
  <c r="M34" i="12"/>
  <c r="M45" i="12"/>
  <c r="M37" i="12"/>
  <c r="M25" i="12"/>
  <c r="M48" i="12"/>
  <c r="M72" i="12"/>
  <c r="M84" i="12"/>
  <c r="M62" i="12"/>
  <c r="M46" i="12"/>
  <c r="M39" i="12"/>
  <c r="M51" i="12"/>
  <c r="M23" i="12"/>
  <c r="F42" i="12"/>
  <c r="M36" i="12"/>
  <c r="F54" i="12"/>
  <c r="E95" i="12"/>
  <c r="E96" i="5"/>
  <c r="M95" i="5"/>
  <c r="F78" i="12"/>
  <c r="G54" i="12"/>
  <c r="G32" i="12"/>
  <c r="F87" i="12"/>
  <c r="M86" i="12"/>
  <c r="G87" i="12"/>
  <c r="D95" i="12"/>
  <c r="L94" i="12"/>
  <c r="P2" i="12" s="1"/>
  <c r="G78" i="12"/>
  <c r="F21" i="12"/>
  <c r="C96" i="5"/>
  <c r="K95" i="5"/>
  <c r="M68" i="12"/>
  <c r="M74" i="12"/>
  <c r="M63" i="12"/>
  <c r="M14" i="12"/>
  <c r="D96" i="5"/>
  <c r="L95" i="5"/>
  <c r="P2" i="5" s="1"/>
  <c r="V7" i="5" s="1"/>
  <c r="M71" i="12"/>
  <c r="M81" i="12"/>
  <c r="M5" i="12"/>
  <c r="M40" i="12"/>
  <c r="M53" i="12"/>
  <c r="M35" i="12"/>
  <c r="F13" i="11"/>
  <c r="G90" i="11"/>
  <c r="G58" i="11"/>
  <c r="F98" i="2"/>
  <c r="F99" i="2" s="1"/>
  <c r="C98" i="1"/>
  <c r="K97" i="1"/>
  <c r="D98" i="1"/>
  <c r="L97" i="1"/>
  <c r="P2" i="1" s="1"/>
  <c r="H97" i="1"/>
  <c r="H98" i="1" s="1"/>
  <c r="E98" i="1"/>
  <c r="M97" i="1"/>
  <c r="C97" i="11"/>
  <c r="C98" i="11" s="1"/>
  <c r="F58" i="11"/>
  <c r="M51" i="11"/>
  <c r="M61" i="11"/>
  <c r="M3" i="11"/>
  <c r="M15" i="11"/>
  <c r="C99" i="2"/>
  <c r="K98" i="2"/>
  <c r="F90" i="11"/>
  <c r="M18" i="11"/>
  <c r="M28" i="11"/>
  <c r="F35" i="11"/>
  <c r="M38" i="11"/>
  <c r="M27" i="11"/>
  <c r="D99" i="2"/>
  <c r="L98" i="2"/>
  <c r="P2" i="2" s="1"/>
  <c r="F81" i="11"/>
  <c r="M73" i="11"/>
  <c r="G81" i="11"/>
  <c r="G35" i="11"/>
  <c r="G24" i="11"/>
  <c r="H98" i="2"/>
  <c r="H99" i="2" s="1"/>
  <c r="E99" i="2"/>
  <c r="M67" i="11"/>
  <c r="M77" i="11"/>
  <c r="F70" i="11"/>
  <c r="M60" i="11"/>
  <c r="M8" i="11"/>
  <c r="M20" i="11"/>
  <c r="F24" i="11"/>
  <c r="E102" i="10"/>
  <c r="M102" i="10"/>
  <c r="D102" i="10"/>
  <c r="L102" i="10"/>
  <c r="P2" i="10" s="1"/>
  <c r="C102" i="10"/>
  <c r="K102" i="10"/>
  <c r="G97" i="1"/>
  <c r="G98" i="1" s="1"/>
  <c r="G66" i="12"/>
  <c r="G21" i="12"/>
  <c r="F11" i="12"/>
  <c r="G47" i="11"/>
  <c r="H101" i="10"/>
  <c r="H102" i="10" s="1"/>
  <c r="H100" i="9"/>
  <c r="H101" i="9" s="1"/>
  <c r="G101" i="10"/>
  <c r="G102" i="10" s="1"/>
  <c r="H95" i="5"/>
  <c r="H96" i="5" s="1"/>
  <c r="G98" i="2"/>
  <c r="G99" i="2" s="1"/>
  <c r="G70" i="11"/>
  <c r="G13" i="11"/>
  <c r="H94" i="6"/>
  <c r="H95" i="6" s="1"/>
  <c r="G94" i="8" l="1"/>
  <c r="G95" i="8" s="1"/>
  <c r="X7" i="5"/>
  <c r="M98" i="2"/>
  <c r="K97" i="11"/>
  <c r="D7" i="16"/>
  <c r="W2" i="2"/>
  <c r="C19" i="16" s="1"/>
  <c r="X2" i="2"/>
  <c r="D19" i="16" s="1"/>
  <c r="V2" i="2"/>
  <c r="B19" i="16" s="1"/>
  <c r="D4" i="16"/>
  <c r="W2" i="1"/>
  <c r="C16" i="16" s="1"/>
  <c r="X2" i="1"/>
  <c r="D16" i="16" s="1"/>
  <c r="V2" i="1"/>
  <c r="B16" i="16" s="1"/>
  <c r="W2" i="6"/>
  <c r="C21" i="16" s="1"/>
  <c r="X2" i="6"/>
  <c r="D21" i="16" s="1"/>
  <c r="W2" i="8"/>
  <c r="C22" i="16" s="1"/>
  <c r="X2" i="8"/>
  <c r="D22" i="16" s="1"/>
  <c r="W2" i="9"/>
  <c r="C23" i="16" s="1"/>
  <c r="X2" i="9"/>
  <c r="D23" i="16" s="1"/>
  <c r="W2" i="11"/>
  <c r="C20" i="16" s="1"/>
  <c r="X2" i="11"/>
  <c r="D20" i="16" s="1"/>
  <c r="W2" i="10"/>
  <c r="C18" i="16" s="1"/>
  <c r="X2" i="10"/>
  <c r="D18" i="16" s="1"/>
  <c r="W2" i="7"/>
  <c r="C17" i="16" s="1"/>
  <c r="X2" i="7"/>
  <c r="D17" i="16" s="1"/>
  <c r="W2" i="5"/>
  <c r="C14" i="16" s="1"/>
  <c r="X2" i="5"/>
  <c r="D14" i="16" s="1"/>
  <c r="W2" i="12"/>
  <c r="C15" i="16" s="1"/>
  <c r="X2" i="12"/>
  <c r="D15" i="16" s="1"/>
  <c r="V2" i="6"/>
  <c r="B21" i="16" s="1"/>
  <c r="V2" i="8"/>
  <c r="B22" i="16" s="1"/>
  <c r="V2" i="9"/>
  <c r="B23" i="16" s="1"/>
  <c r="V2" i="11"/>
  <c r="B20" i="16" s="1"/>
  <c r="V2" i="10"/>
  <c r="B18" i="16" s="1"/>
  <c r="V2" i="7"/>
  <c r="B17" i="16" s="1"/>
  <c r="V2" i="5"/>
  <c r="V2" i="12"/>
  <c r="B15" i="16" s="1"/>
  <c r="D9" i="16"/>
  <c r="D10" i="16"/>
  <c r="D11" i="16"/>
  <c r="D8" i="16"/>
  <c r="D6" i="16"/>
  <c r="D5" i="16"/>
  <c r="D2" i="16"/>
  <c r="D3" i="16"/>
  <c r="F94" i="12"/>
  <c r="F95" i="12" s="1"/>
  <c r="G94" i="12"/>
  <c r="G95" i="12" s="1"/>
  <c r="M94" i="12"/>
  <c r="G97" i="11"/>
  <c r="G98" i="11" s="1"/>
  <c r="F97" i="11"/>
  <c r="AE2" i="7" l="1"/>
  <c r="E5" i="16" s="1"/>
  <c r="AE2" i="11"/>
  <c r="E8" i="16" s="1"/>
  <c r="AE2" i="8"/>
  <c r="E10" i="16" s="1"/>
  <c r="AE2" i="1"/>
  <c r="E4" i="16" s="1"/>
  <c r="AE2" i="2"/>
  <c r="E7" i="16" s="1"/>
  <c r="AE2" i="12"/>
  <c r="E3" i="16" s="1"/>
  <c r="AE2" i="5"/>
  <c r="E2" i="16" s="1"/>
  <c r="B14" i="16"/>
  <c r="AE2" i="10"/>
  <c r="E6" i="16" s="1"/>
  <c r="AE2" i="9"/>
  <c r="E11" i="16" s="1"/>
  <c r="AE2" i="6"/>
  <c r="E9" i="16" s="1"/>
  <c r="AB2" i="1"/>
  <c r="AB2" i="2"/>
  <c r="AB2" i="12"/>
  <c r="AB2" i="7"/>
  <c r="AB2" i="11"/>
  <c r="AB2" i="8"/>
  <c r="AB2" i="5"/>
  <c r="AB2" i="10"/>
  <c r="AB2" i="9"/>
  <c r="AB2" i="6"/>
  <c r="F98" i="11"/>
  <c r="M97" i="11"/>
  <c r="AC2" i="6" l="1"/>
  <c r="F9" i="16" s="1"/>
  <c r="H21" i="16"/>
  <c r="AC2" i="10"/>
  <c r="F6" i="16" s="1"/>
  <c r="H18" i="16"/>
  <c r="AC2" i="8"/>
  <c r="F10" i="16" s="1"/>
  <c r="H22" i="16"/>
  <c r="AC2" i="7"/>
  <c r="F5" i="16" s="1"/>
  <c r="H17" i="16"/>
  <c r="AC2" i="2"/>
  <c r="F7" i="16" s="1"/>
  <c r="H19" i="16"/>
  <c r="AC2" i="9"/>
  <c r="F11" i="16" s="1"/>
  <c r="H23" i="16"/>
  <c r="AC2" i="5"/>
  <c r="F2" i="16" s="1"/>
  <c r="H14" i="16"/>
  <c r="AC2" i="11"/>
  <c r="F8" i="16" s="1"/>
  <c r="H20" i="16"/>
  <c r="AC2" i="12"/>
  <c r="F3" i="16" s="1"/>
  <c r="H15" i="16"/>
  <c r="AC2" i="1"/>
  <c r="F4" i="16" s="1"/>
  <c r="H16" i="16"/>
</calcChain>
</file>

<file path=xl/comments1.xml><?xml version="1.0" encoding="utf-8"?>
<comments xmlns="http://schemas.openxmlformats.org/spreadsheetml/2006/main">
  <authors>
    <author>FirstOne</author>
  </authors>
  <commentList>
    <comment ref="A51" authorId="0">
      <text>
        <r>
          <rPr>
            <b/>
            <sz val="9"/>
            <color indexed="81"/>
            <rFont val="Tahoma"/>
            <family val="2"/>
            <charset val="204"/>
          </rPr>
          <t>FirstOne:</t>
        </r>
        <r>
          <rPr>
            <sz val="9"/>
            <color indexed="81"/>
            <rFont val="Tahoma"/>
            <family val="2"/>
            <charset val="204"/>
          </rPr>
          <t xml:space="preserve">
Само тук се появява тази дисциплина.</t>
        </r>
      </text>
    </comment>
  </commentList>
</comments>
</file>

<file path=xl/comments2.xml><?xml version="1.0" encoding="utf-8"?>
<comments xmlns="http://schemas.openxmlformats.org/spreadsheetml/2006/main">
  <authors>
    <author>FirstOne</author>
  </authors>
  <commentList>
    <comment ref="A50" authorId="0">
      <text>
        <r>
          <rPr>
            <b/>
            <sz val="9"/>
            <color indexed="81"/>
            <rFont val="Tahoma"/>
            <family val="2"/>
            <charset val="204"/>
          </rPr>
          <t>FirstOne:</t>
        </r>
        <r>
          <rPr>
            <sz val="9"/>
            <color indexed="81"/>
            <rFont val="Tahoma"/>
            <family val="2"/>
            <charset val="204"/>
          </rPr>
          <t xml:space="preserve">
Само тук се появява тази дисциплина.</t>
        </r>
      </text>
    </comment>
  </commentList>
</comments>
</file>

<file path=xl/comments3.xml><?xml version="1.0" encoding="utf-8"?>
<comments xmlns="http://schemas.openxmlformats.org/spreadsheetml/2006/main">
  <authors>
    <author>FirstOne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FirstOne: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FDean</author>
  </authors>
  <commentList>
    <comment ref="A65" authorId="0">
      <text>
        <r>
          <rPr>
            <b/>
            <sz val="9"/>
            <color indexed="81"/>
            <rFont val="Tahoma"/>
            <family val="2"/>
            <charset val="204"/>
          </rPr>
          <t>FDean:</t>
        </r>
        <r>
          <rPr>
            <sz val="9"/>
            <color indexed="81"/>
            <rFont val="Tahoma"/>
            <family val="2"/>
            <charset val="204"/>
          </rPr>
          <t xml:space="preserve">
Преместено и изравено по Български и чужд - базов</t>
        </r>
      </text>
    </comment>
  </commentList>
</comments>
</file>

<file path=xl/comments5.xml><?xml version="1.0" encoding="utf-8"?>
<comments xmlns="http://schemas.openxmlformats.org/spreadsheetml/2006/main">
  <authors>
    <author>FirstOne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FirstOne:</t>
        </r>
        <r>
          <rPr>
            <sz val="9"/>
            <color indexed="81"/>
            <rFont val="Tahoma"/>
            <family val="2"/>
            <charset val="204"/>
          </rPr>
          <t xml:space="preserve">
Навсякъде се уеднаквява - фонетиката е първа.</t>
        </r>
      </text>
    </comment>
  </commentList>
</comments>
</file>

<file path=xl/sharedStrings.xml><?xml version="1.0" encoding="utf-8"?>
<sst xmlns="http://schemas.openxmlformats.org/spreadsheetml/2006/main" count="3311" uniqueCount="630">
  <si>
    <t xml:space="preserve">УЧЕБНА ДИСЦИПЛИНА </t>
  </si>
  <si>
    <t xml:space="preserve">A нови </t>
  </si>
  <si>
    <t>А</t>
  </si>
  <si>
    <t>Л</t>
  </si>
  <si>
    <t>С</t>
  </si>
  <si>
    <t>У</t>
  </si>
  <si>
    <t>Е</t>
  </si>
  <si>
    <t>О</t>
  </si>
  <si>
    <t>КР</t>
  </si>
  <si>
    <t>Ф</t>
  </si>
  <si>
    <t>І курс, І семестър</t>
  </si>
  <si>
    <t>Български фолклор</t>
  </si>
  <si>
    <t>изпит</t>
  </si>
  <si>
    <t>Историческа лингвистика (Старобългарски език)</t>
  </si>
  <si>
    <t>продължава</t>
  </si>
  <si>
    <t>Английски език (Практически курс)</t>
  </si>
  <si>
    <t>Странознание (Великобритания)</t>
  </si>
  <si>
    <t>Избираема дисциплина 1 (Езикова култура или Практикум по правопис и пунктуация)</t>
  </si>
  <si>
    <t>т.о.</t>
  </si>
  <si>
    <t>Увод в литературната теория</t>
  </si>
  <si>
    <t>Увод в общото езикознание</t>
  </si>
  <si>
    <t>Факултативна дисциплина 1</t>
  </si>
  <si>
    <t>І курс, ІІ семестър</t>
  </si>
  <si>
    <t>Българска литература (Старобългарска литература)</t>
  </si>
  <si>
    <t>Класически език (Латински език)</t>
  </si>
  <si>
    <t>Съвременен английски език (Фонетика)</t>
  </si>
  <si>
    <t>Съвременен български език (Фонетика)</t>
  </si>
  <si>
    <t>Факултативна дисциплина 2</t>
  </si>
  <si>
    <t>АВИТО</t>
  </si>
  <si>
    <t>Физическо възпитание</t>
  </si>
  <si>
    <t>ІІ курс, ІІІ семестър</t>
  </si>
  <si>
    <t>Българска литература (Възрожденска литература)</t>
  </si>
  <si>
    <t>Избираема дисциплина 2 (Литература за деца и юноши или Западноевропейска детска литература)</t>
  </si>
  <si>
    <t>Анлийска литература от периода на викторианството</t>
  </si>
  <si>
    <t>Педагогика</t>
  </si>
  <si>
    <t>Психология</t>
  </si>
  <si>
    <t>Съвременен английски език (Лексикология)</t>
  </si>
  <si>
    <t>Съвременен български език (Лексикология)</t>
  </si>
  <si>
    <t>ІІ курс, ІV семестър</t>
  </si>
  <si>
    <t>Антична и западноевропейска литература</t>
  </si>
  <si>
    <t>История на новобългарския книжовен език</t>
  </si>
  <si>
    <t xml:space="preserve">Най-нова английска литература </t>
  </si>
  <si>
    <t xml:space="preserve">Руска литература </t>
  </si>
  <si>
    <t>Съвременен английски език (Морфология)</t>
  </si>
  <si>
    <t>Съвременен български език (Морфология)</t>
  </si>
  <si>
    <t>Теория на превода</t>
  </si>
  <si>
    <t>ІІІ курс, V семестър</t>
  </si>
  <si>
    <t>Българска литература (Следосвобожденска литература)</t>
  </si>
  <si>
    <t>Историческа лингвистика (История на английския език)</t>
  </si>
  <si>
    <t>Историческа лингвистика (История на българския език)</t>
  </si>
  <si>
    <t xml:space="preserve">Стара английска литература </t>
  </si>
  <si>
    <t>ІІІ курс, VІ семестър</t>
  </si>
  <si>
    <t xml:space="preserve">Английски език (Практически курс) </t>
  </si>
  <si>
    <t>Съвременен английски език (Синтаксис)</t>
  </si>
  <si>
    <t>Съвременен български език (Синтаксис)</t>
  </si>
  <si>
    <t>Факултативна дисциплина 3</t>
  </si>
  <si>
    <t>Хоспетиране (Английски език)</t>
  </si>
  <si>
    <t>Хоспетиране (Български език и литература)</t>
  </si>
  <si>
    <t>Избираема дисциплина 3 (Странознание или Културни реалии)</t>
  </si>
  <si>
    <t>ІV курс, VІІ семестър</t>
  </si>
  <si>
    <t>Американска литература</t>
  </si>
  <si>
    <t>Английска литература (Просвещение)</t>
  </si>
  <si>
    <t>Българска литература (След Първата световна война)</t>
  </si>
  <si>
    <t>Методика на обучението по английски език</t>
  </si>
  <si>
    <t>Методика на обучението по литература</t>
  </si>
  <si>
    <t>Методика на обучението по български език</t>
  </si>
  <si>
    <t>Текуща педагогическа практика (Български език и литература)</t>
  </si>
  <si>
    <t>Текуща педагогическа практика (Английски език)</t>
  </si>
  <si>
    <t>ІV курс, VІІІ семестър</t>
  </si>
  <si>
    <t>Английска литература на Романтизма</t>
  </si>
  <si>
    <t>Преддипломна педагогическа практика (Английски език)</t>
  </si>
  <si>
    <t>Преддипломна педагогическа практика (Български език и литература)</t>
  </si>
  <si>
    <t>Факултативна дисциплина 4</t>
  </si>
  <si>
    <t>Съвременен английски език (Стилистика)</t>
  </si>
  <si>
    <t>Съвременен български език (Стилистика)</t>
  </si>
  <si>
    <t>Държавни изпити</t>
  </si>
  <si>
    <t xml:space="preserve">Интегриран практико-приложен изпит (Английски език) </t>
  </si>
  <si>
    <t>Интегриран практико-приложен изпит (Български език и литература)</t>
  </si>
  <si>
    <t>Писмен изпит по английски език</t>
  </si>
  <si>
    <t>Писмен изпит по български език и литература</t>
  </si>
  <si>
    <t>За целия период на следването (брой часове)</t>
  </si>
  <si>
    <t>УЧЕБНА ДИСЦИПЛИНА</t>
  </si>
  <si>
    <t>Археология</t>
  </si>
  <si>
    <t>Избираема дисциплина 2 (Българска етнология или Етнография на България)</t>
  </si>
  <si>
    <t>Стара история</t>
  </si>
  <si>
    <t>Увод в историческото познание</t>
  </si>
  <si>
    <t xml:space="preserve"> </t>
  </si>
  <si>
    <t>История на България (Средновековие)</t>
  </si>
  <si>
    <t>Избираема дисциплина 3 (Старогръцки език или Латински език)</t>
  </si>
  <si>
    <r>
      <t>Съвременен български език (</t>
    </r>
    <r>
      <rPr>
        <sz val="11"/>
        <rFont val="Calibri"/>
        <family val="2"/>
        <charset val="204"/>
      </rPr>
      <t>Фонетика)</t>
    </r>
  </si>
  <si>
    <t xml:space="preserve">Тракология </t>
  </si>
  <si>
    <t>Историография</t>
  </si>
  <si>
    <t>История на Византия</t>
  </si>
  <si>
    <t>Литература за деца и юноши</t>
  </si>
  <si>
    <t>Средновековна обща история</t>
  </si>
  <si>
    <r>
      <t>Съвременен български език (</t>
    </r>
    <r>
      <rPr>
        <sz val="11"/>
        <rFont val="Calibri"/>
        <family val="2"/>
        <charset val="204"/>
      </rPr>
      <t>Лексикология)</t>
    </r>
  </si>
  <si>
    <t>История на България (ХV - ХVІІ в.)</t>
  </si>
  <si>
    <t>История на Русия (ІХ - ХХ в.)</t>
  </si>
  <si>
    <t>История на балканските народи (ХV - ХХ в.)</t>
  </si>
  <si>
    <t>История на България (Възраждане)</t>
  </si>
  <si>
    <t>Нова обща история</t>
  </si>
  <si>
    <t>Архивистика</t>
  </si>
  <si>
    <t>История на България (1878 - 1944)</t>
  </si>
  <si>
    <t>Хоспетиране (История)</t>
  </si>
  <si>
    <t>История на България (1878-1944)</t>
  </si>
  <si>
    <t>Методика на обучението по история</t>
  </si>
  <si>
    <t>Съвременна обща история</t>
  </si>
  <si>
    <t>Текуща педагогическа практика (История)</t>
  </si>
  <si>
    <t>История на България (След Втората световна война)</t>
  </si>
  <si>
    <t>Музейно дело</t>
  </si>
  <si>
    <t>Преддипломна педагогическа практика (История)</t>
  </si>
  <si>
    <t>Съвременен български език - Стилистика</t>
  </si>
  <si>
    <t>Интегриран практико-приложен изпит (История)</t>
  </si>
  <si>
    <t>Писмен изпит по история (или защита на дипломна работа)</t>
  </si>
  <si>
    <t>Факултативна дисциплина 5</t>
  </si>
  <si>
    <t>Избираема дисциплина 2 (Езикова култура или Практикум по правопис и пунктуация)</t>
  </si>
  <si>
    <t>Руски език (Практически курс)</t>
  </si>
  <si>
    <t>Избираема дисциплина 1 (Странознание на Русия или Културни реалии на Русия)</t>
  </si>
  <si>
    <r>
      <t>Избираема дисциплина 2 (</t>
    </r>
    <r>
      <rPr>
        <sz val="11"/>
        <rFont val="Calibri"/>
        <family val="2"/>
        <charset val="204"/>
      </rPr>
      <t>Руски език)</t>
    </r>
  </si>
  <si>
    <t>Класически език</t>
  </si>
  <si>
    <t>Съвременен руски език (Фонетика)</t>
  </si>
  <si>
    <t>Избираема дисциплина 3 (Литература за деца и юноши или Рускоезична детска литература)</t>
  </si>
  <si>
    <t>Руска литература (Руски фолклор)</t>
  </si>
  <si>
    <t>Съвременен руски език (Лексикология)</t>
  </si>
  <si>
    <t>Избираема дисциплина 4 (Езикова култура или Практикум по правопис и пунктуация)</t>
  </si>
  <si>
    <t>Руска литература (Стара руска литература)</t>
  </si>
  <si>
    <t>Съвременен руски език (Морфология)</t>
  </si>
  <si>
    <t>Увод в теорията на превода</t>
  </si>
  <si>
    <t>Руска литература (ХІХ век)</t>
  </si>
  <si>
    <t>Сравнителна граматика на славянските езици</t>
  </si>
  <si>
    <t>Методика на обучението по руски език</t>
  </si>
  <si>
    <t xml:space="preserve">Руски език (Практически курс) </t>
  </si>
  <si>
    <t>Съвременен руски език (Синтаксис)</t>
  </si>
  <si>
    <t>Хоспетиране (Руски език)</t>
  </si>
  <si>
    <t>Руска литература (ХХ век)</t>
  </si>
  <si>
    <t>Текуща педагогическа практика (Руски език)</t>
  </si>
  <si>
    <t>Преддипломна педагогическа практика (Руски език)</t>
  </si>
  <si>
    <t>Съвременен руски език (Стилистика)</t>
  </si>
  <si>
    <t>Интегриран практико-приложен изпит (Руски език)</t>
  </si>
  <si>
    <t>Писмен изпит по руски език</t>
  </si>
  <si>
    <t>Испански език (Практически курс)</t>
  </si>
  <si>
    <t>Избираема дисциплина 1 (Странознание на Испания или Културни реалии на Испания)</t>
  </si>
  <si>
    <t>Съвременен испански език (Фонетика)</t>
  </si>
  <si>
    <t>Испанска литература (Първа част)</t>
  </si>
  <si>
    <t>Избираема дисциплина 3 (Литература за деца и юноши или Испаноезична детска литература)</t>
  </si>
  <si>
    <t>Съвременен испански език (Лексикология)</t>
  </si>
  <si>
    <t>Съвременен испански език (Морфология)</t>
  </si>
  <si>
    <t>Испанска литература (Втора част)</t>
  </si>
  <si>
    <t>Съвременен испански език (Синтаксис)</t>
  </si>
  <si>
    <t>Хоспетиране (Испански език)</t>
  </si>
  <si>
    <t>Испанска литература (Трета част)</t>
  </si>
  <si>
    <t>Методика на обучението по испански език</t>
  </si>
  <si>
    <t>Текуща педагогическа практика (Испански език)</t>
  </si>
  <si>
    <t>Преддипломна педагогическа практика (Испански език)</t>
  </si>
  <si>
    <t>Избираема дисциплина 4 (Стилистика или Писане и редактиране на текст - испански език)</t>
  </si>
  <si>
    <t>Интегриран практико-приложен изпит (Испански език)</t>
  </si>
  <si>
    <t>Писмен изпит по испански език</t>
  </si>
  <si>
    <t xml:space="preserve">Новогръцки език (Практически курс) </t>
  </si>
  <si>
    <t>Старогръцка литература</t>
  </si>
  <si>
    <t>Избираема дисциплина 1 (Езикова култура или практикум по правопис)</t>
  </si>
  <si>
    <t>Факултативна дисциплина 1 (Новогръцки език)</t>
  </si>
  <si>
    <t>Новогръцки език (Практически курс)</t>
  </si>
  <si>
    <t>Факултативна дисциплина 2 (Новогръцки език)</t>
  </si>
  <si>
    <t>Избираема дисциплина 2 (Литература за деца и юноши или Западноевропейска литература за деца)</t>
  </si>
  <si>
    <t>Класически език (Старогръцки език)</t>
  </si>
  <si>
    <t>Съвременен новогръцки език (Фонетика)</t>
  </si>
  <si>
    <t>Избираема дисциплина 3 (Новогръцка литература)</t>
  </si>
  <si>
    <t>Съвременен новогръцки език (Морфология)</t>
  </si>
  <si>
    <t>Византийска литература и текстове</t>
  </si>
  <si>
    <t>Избираема дисциплина 4 (Странознание на Гърция)</t>
  </si>
  <si>
    <t>Факултативна дисциплина 3 (Новогръцки език)</t>
  </si>
  <si>
    <t>Историческа лингвистика (Историческа граматика на гръцкия език)</t>
  </si>
  <si>
    <t>Новогръцки език (Практически курс) </t>
  </si>
  <si>
    <t>Съвременен новогръцки език (Синтаксис)</t>
  </si>
  <si>
    <t>Хоспeтиране (Новогръцки език)</t>
  </si>
  <si>
    <t>Теория на превода (Новогръцки език)</t>
  </si>
  <si>
    <t>Новогръцка литература</t>
  </si>
  <si>
    <t>Методика на обучението по новогръцки език</t>
  </si>
  <si>
    <t>Текуща педагогическа практика (Новогръцки език)</t>
  </si>
  <si>
    <t>Съвременен новогръцки език (Лексикология)</t>
  </si>
  <si>
    <t>Факултативна дисциплина 4 (Новогръцки език)</t>
  </si>
  <si>
    <t>Преддипломна педагогическа практика (Новогръцки език)</t>
  </si>
  <si>
    <t>Интегриран практико-приложен изпит (Новогръцки език)</t>
  </si>
  <si>
    <t>Писмен изпит по новогръцки език</t>
  </si>
  <si>
    <t xml:space="preserve">Турски език (Практически курс) </t>
  </si>
  <si>
    <t>Турски език (Практически курс)</t>
  </si>
  <si>
    <t>Странознание на Турция</t>
  </si>
  <si>
    <t>Съвременен турски език (Фонетика)</t>
  </si>
  <si>
    <t>Турска литература (Първа част)</t>
  </si>
  <si>
    <t>Съвременен турски език (Морфология)</t>
  </si>
  <si>
    <t>Съвременен турски език (Лексикология)</t>
  </si>
  <si>
    <t>Методика на обучението по турски език</t>
  </si>
  <si>
    <t>Интеркултурна комуникация</t>
  </si>
  <si>
    <t>Балканска турска диалектология</t>
  </si>
  <si>
    <t>Турски език (Практически курс) </t>
  </si>
  <si>
    <r>
      <t xml:space="preserve">Избираема дисциплина </t>
    </r>
    <r>
      <rPr>
        <sz val="11"/>
        <rFont val="Calibri"/>
        <family val="2"/>
        <charset val="204"/>
      </rPr>
      <t>3</t>
    </r>
  </si>
  <si>
    <t>Избираема дисциплина 4</t>
  </si>
  <si>
    <t>Съвременен турски език (Синтаксис)</t>
  </si>
  <si>
    <t>Османотурски език</t>
  </si>
  <si>
    <t>История на Турция</t>
  </si>
  <si>
    <t>Текуща педагогическа практика (Турски език)</t>
  </si>
  <si>
    <t>Хоспeтиране (Турски език)</t>
  </si>
  <si>
    <t>Турска литература (Втора част)</t>
  </si>
  <si>
    <t>Преддипломна педагогическа практика (Турски език)</t>
  </si>
  <si>
    <t>Интегриран практико-приложен изпит (Турски език)</t>
  </si>
  <si>
    <t>Писмен изпит по турски език</t>
  </si>
  <si>
    <t>Китайски език (Практически курс)</t>
  </si>
  <si>
    <t>Странознание (Китай)</t>
  </si>
  <si>
    <t>Съвременен китайски език (Фонетика)</t>
  </si>
  <si>
    <t>Факултативна дисциплина (Практическа фонетика - китайски език)</t>
  </si>
  <si>
    <t>Китайска литература 1</t>
  </si>
  <si>
    <t>Съвременен китайски език (Лексикология)</t>
  </si>
  <si>
    <t>Китайска литература 2</t>
  </si>
  <si>
    <t>Съвременен китайски език (Морфология)</t>
  </si>
  <si>
    <t>Историческа лингвистика (История на китайския език)</t>
  </si>
  <si>
    <t>Китайска литература 3</t>
  </si>
  <si>
    <t xml:space="preserve">Китайски език (Практически курс) </t>
  </si>
  <si>
    <t>Съвременен китайски език (Синтаксис)</t>
  </si>
  <si>
    <t>Хоспетиране (Китайски език)</t>
  </si>
  <si>
    <t>Китайска литература 4</t>
  </si>
  <si>
    <t>Методика на обучението по китайски език</t>
  </si>
  <si>
    <t>Текуща педагогическа практика (Китайски език)</t>
  </si>
  <si>
    <t>Китайска литература 5</t>
  </si>
  <si>
    <t>Китайска литература 6</t>
  </si>
  <si>
    <t>Преддипломна педагогическа практика (Китайски език)</t>
  </si>
  <si>
    <t>Съвременен китайски език (Стилистика)</t>
  </si>
  <si>
    <t xml:space="preserve">Интегриран практико-приложен изпит (Китайски език) </t>
  </si>
  <si>
    <t>Писмен изпит по китайски език</t>
  </si>
  <si>
    <t>Италиански език (Практически курс)</t>
  </si>
  <si>
    <t>Странознание (Италия)</t>
  </si>
  <si>
    <t>Съвременен италиански език (Фонетика)</t>
  </si>
  <si>
    <t>Италианска  литература 1</t>
  </si>
  <si>
    <t>Съвременен италиански език (Лексикология)</t>
  </si>
  <si>
    <t>Италианска  литература 2</t>
  </si>
  <si>
    <t>Съвременен италиански език (Морфология)</t>
  </si>
  <si>
    <t>Историческа лингвистика (История на чуждия език)</t>
  </si>
  <si>
    <t>Италианска  литература 3</t>
  </si>
  <si>
    <t xml:space="preserve">Италиански език (Практически курс) </t>
  </si>
  <si>
    <t>Съвременен италиански език (Синтаксис)</t>
  </si>
  <si>
    <t>Хоспетиране (Италиански език)</t>
  </si>
  <si>
    <t>Италианска  литература 4</t>
  </si>
  <si>
    <t>Методика на обучението по Италиански език</t>
  </si>
  <si>
    <t>Текуща педагогическа практика (Италиански език)</t>
  </si>
  <si>
    <t>Италианска  литература 5</t>
  </si>
  <si>
    <t>Италианска  литература 6</t>
  </si>
  <si>
    <t>Преддипломна педагогическа практика (Италиански език)</t>
  </si>
  <si>
    <t>Съвременен италиански език (Стилистика)</t>
  </si>
  <si>
    <t xml:space="preserve">Интегриран практико-приложен изпит (Италиански език) </t>
  </si>
  <si>
    <t>Писмен изпит по италиански език</t>
  </si>
  <si>
    <r>
      <t xml:space="preserve">Избираема дисциплина </t>
    </r>
    <r>
      <rPr>
        <sz val="11"/>
        <rFont val="Calibri"/>
        <family val="2"/>
        <charset val="204"/>
      </rPr>
      <t>3 (Езикова култура или Практикум по правопис и пунктуация)</t>
    </r>
  </si>
  <si>
    <r>
      <t xml:space="preserve">Избираема дисциплина </t>
    </r>
    <r>
      <rPr>
        <sz val="11"/>
        <rFont val="Calibri"/>
        <family val="2"/>
        <charset val="204"/>
      </rPr>
      <t>4 (Литературоведска)</t>
    </r>
  </si>
  <si>
    <t>Тип</t>
  </si>
  <si>
    <t>"=IF(A3="";" ";VLOOKUP(A3;'Профилиращ лист'!A:B;2;FALSE))"</t>
  </si>
  <si>
    <t>ПЕД</t>
  </si>
  <si>
    <t>формула</t>
  </si>
  <si>
    <t>СПЕ</t>
  </si>
  <si>
    <t>Американска литература XIX  и ХХ век</t>
  </si>
  <si>
    <t>Американска литература до ХIХ век</t>
  </si>
  <si>
    <t>Анализ на риска</t>
  </si>
  <si>
    <t>Английска литература (Нова английска литература)</t>
  </si>
  <si>
    <t>Английска литература (Стара английска литература)</t>
  </si>
  <si>
    <t>Английска литература на Просвещението</t>
  </si>
  <si>
    <t>Английска литература от периода на викторианството</t>
  </si>
  <si>
    <t>ПРА</t>
  </si>
  <si>
    <t>Английски език в официалните документи на Европейския съюз</t>
  </si>
  <si>
    <t>ОФД</t>
  </si>
  <si>
    <t>Антична и западноевропейска литература (Античност и Средновековие)</t>
  </si>
  <si>
    <t>Антична и западноевропейска литература (Западноевропейска литература)</t>
  </si>
  <si>
    <t>Аудиовизуални и информационни технологии</t>
  </si>
  <si>
    <t xml:space="preserve">Аудиовизуални и информационни технологии </t>
  </si>
  <si>
    <t>Бази данни</t>
  </si>
  <si>
    <t>Българска диалектология</t>
  </si>
  <si>
    <t>ИЗБ</t>
  </si>
  <si>
    <t>Връзки с обществеността</t>
  </si>
  <si>
    <t>Втори славянски език</t>
  </si>
  <si>
    <t>Втори славянски език (полски, чешки или сръбски и хърватски)</t>
  </si>
  <si>
    <t>Геоикономика</t>
  </si>
  <si>
    <t>Дигитализация (практикум)</t>
  </si>
  <si>
    <t>Дигитални библиотеки</t>
  </si>
  <si>
    <t>Европейски езикови стандарти</t>
  </si>
  <si>
    <t>Езикови технологии</t>
  </si>
  <si>
    <t>Езици за програмиране</t>
  </si>
  <si>
    <t xml:space="preserve">Експериментална фонетика </t>
  </si>
  <si>
    <t>Електронен превод</t>
  </si>
  <si>
    <t>Електронно публикуване</t>
  </si>
  <si>
    <t>Електронно-образователни среди (CMS - Moodle)</t>
  </si>
  <si>
    <t>Избираема дисциплина 1 (Език и комуникация или Презентацията като езиково умение)</t>
  </si>
  <si>
    <t>Избираема дисциплина 1 (Езикова култура или Практикум по правопис)</t>
  </si>
  <si>
    <t>Избираема дисциплина 1 (Класически език: старогръцки или латински)</t>
  </si>
  <si>
    <t>Избираема дисциплина 1 (Практическа фонетика или Правопис на чуждия език)</t>
  </si>
  <si>
    <t xml:space="preserve">Избираема дисциплина 1: (Превод и инф. технологии или инф. техн. в хуманитар.) </t>
  </si>
  <si>
    <t>Избираема дисциплина 2</t>
  </si>
  <si>
    <t xml:space="preserve">Избираема дисциплина 2 </t>
  </si>
  <si>
    <t>Избираема дисциплина 2 (Английски език)</t>
  </si>
  <si>
    <t>Избираема дисциплина 2 (Икономическа)</t>
  </si>
  <si>
    <t>Избираема дисциплина 2 (Старогръцки език или Латински език)</t>
  </si>
  <si>
    <t>Избираема дисциплина 2 (Странознание или Културни реалии - чужд език)</t>
  </si>
  <si>
    <t xml:space="preserve">Избираема дисциплина 2: (Африканска л-ра или швейцарска л-ра ) </t>
  </si>
  <si>
    <t>Избираема дисциплина 3</t>
  </si>
  <si>
    <t xml:space="preserve">Избираема дисциплина 3 </t>
  </si>
  <si>
    <t>Избираема дисциплина 3 (Английски език)</t>
  </si>
  <si>
    <t>Избираема дисциплина 3 (Руски, чешки, полски, сръбски)</t>
  </si>
  <si>
    <t xml:space="preserve">Избираема дисциплина 3: (Културология или работа с автент. документи) </t>
  </si>
  <si>
    <t>Избираема дисциплина 4 (Английски език)</t>
  </si>
  <si>
    <t>Избираема дисциплина 4 (Най-нова българска литература или Етнология и литература)</t>
  </si>
  <si>
    <t xml:space="preserve">Избираема дисциплина 4: (Анализ на лит. текст или Наратология и лит. семиотика) </t>
  </si>
  <si>
    <t>Избираема дисциплина 5</t>
  </si>
  <si>
    <t>Избираема дисциплина 5 (Канон и литература или История на езикознанието)</t>
  </si>
  <si>
    <t>Избираема дисциплина 6</t>
  </si>
  <si>
    <t>Избираема дисциплина 6 (Езикът на медиите или Компютърна лингвистика)</t>
  </si>
  <si>
    <t>Икономически теории</t>
  </si>
  <si>
    <t>Информационни технологии в хуманитаристиката</t>
  </si>
  <si>
    <t xml:space="preserve">Историческа лингвистика </t>
  </si>
  <si>
    <t>Историческа лингвистика (Историческа граматика  на сръбския и хърватския език)</t>
  </si>
  <si>
    <t>Историческа лингвистика (Историческа граматика на българския език)</t>
  </si>
  <si>
    <t>Историческа лингвистика (Историческа граматика на руския език)</t>
  </si>
  <si>
    <t>Историческа лингвистика (История на полския език)</t>
  </si>
  <si>
    <t>Историческа поетика на българската литература</t>
  </si>
  <si>
    <t>История на българистиката и славистиката</t>
  </si>
  <si>
    <t>История на полската литература (Втора част)</t>
  </si>
  <si>
    <t>История на полската литература (Първа част)</t>
  </si>
  <si>
    <t>История на руския книжовен език</t>
  </si>
  <si>
    <t>История на сръбската и хърватската литература (Втора част)</t>
  </si>
  <si>
    <t>История на сръбската и хърватската литература (Първа част)</t>
  </si>
  <si>
    <t>История на чешката литература (Втора част)</t>
  </si>
  <si>
    <t>История на чешката литература (Първа част)</t>
  </si>
  <si>
    <t>ИТ практикум</t>
  </si>
  <si>
    <t>Комуникации и комуникационна политика</t>
  </si>
  <si>
    <t>Корпоративни финанси</t>
  </si>
  <si>
    <t>Културна антропология на славяните</t>
  </si>
  <si>
    <t>Културни реалии (сърбо-хърватска езикова територия)</t>
  </si>
  <si>
    <t>Културни реалии на Полша</t>
  </si>
  <si>
    <t>Културни реалии на Чехия</t>
  </si>
  <si>
    <t>Латински език</t>
  </si>
  <si>
    <t xml:space="preserve">Латински език </t>
  </si>
  <si>
    <t xml:space="preserve">Лингвистика на текста </t>
  </si>
  <si>
    <t>Лингвистични информационни ресурси</t>
  </si>
  <si>
    <t>Макроикономика</t>
  </si>
  <si>
    <t>Маркетинг</t>
  </si>
  <si>
    <t>Маркетингов мениджмънт</t>
  </si>
  <si>
    <t>Маркетингови изследвания</t>
  </si>
  <si>
    <t>Машинен превод</t>
  </si>
  <si>
    <t>Методика на обучението по руски език и литература</t>
  </si>
  <si>
    <t xml:space="preserve">Методика на обучението по френски език и литература </t>
  </si>
  <si>
    <t>Мрежи</t>
  </si>
  <si>
    <t>Операционни системи</t>
  </si>
  <si>
    <t>Основи на правото</t>
  </si>
  <si>
    <t>Основи на управлението</t>
  </si>
  <si>
    <t xml:space="preserve">Основи на художествения превод </t>
  </si>
  <si>
    <t>Офис програми (текст, графика, презентации, комуникация)</t>
  </si>
  <si>
    <t>Полски език (Практически курс)</t>
  </si>
  <si>
    <t xml:space="preserve">Полски език (Практически курс) </t>
  </si>
  <si>
    <t>Практикум по превод (Английски език)</t>
  </si>
  <si>
    <t>Практикум по превод (Втори чужд език)</t>
  </si>
  <si>
    <t>Практикум по превод (Чужд език)</t>
  </si>
  <si>
    <t>Практикум по устен превод</t>
  </si>
  <si>
    <t>Практическа фонетика на английския език</t>
  </si>
  <si>
    <t>Преддипломна педагогическа практика ( Френски език и литература )</t>
  </si>
  <si>
    <t>Преддипломна педагогическа практика (Руски език и литература)</t>
  </si>
  <si>
    <t>Реклама и рекламна политика</t>
  </si>
  <si>
    <t xml:space="preserve">Руска литература (Стара руска литература) </t>
  </si>
  <si>
    <t xml:space="preserve">Руска литература (ХІХ век) </t>
  </si>
  <si>
    <t>Руски език</t>
  </si>
  <si>
    <t>Славянски литератури</t>
  </si>
  <si>
    <t>Социология на икономиката</t>
  </si>
  <si>
    <t>Сръбски и хърватски език  (Практически курс)</t>
  </si>
  <si>
    <t>Старобългарски език</t>
  </si>
  <si>
    <t>Статистика</t>
  </si>
  <si>
    <t>Стокови борси</t>
  </si>
  <si>
    <t>Стопанска история</t>
  </si>
  <si>
    <t>Странознание</t>
  </si>
  <si>
    <t>Странознание (САЩ)</t>
  </si>
  <si>
    <t>Странознание на англоговорящите страни</t>
  </si>
  <si>
    <t xml:space="preserve">Странознание на Франция </t>
  </si>
  <si>
    <t>Стратегия на научното изследване</t>
  </si>
  <si>
    <t xml:space="preserve">Съвременен български език </t>
  </si>
  <si>
    <t>Съвременен български език (Общ теоретичен курс)</t>
  </si>
  <si>
    <t>Съвременен български език с практикум по езикова култура</t>
  </si>
  <si>
    <t>Съвременен полски език (Лексикология и словообразуване)</t>
  </si>
  <si>
    <t>Съвременен полски език (Морфология)</t>
  </si>
  <si>
    <t>Съвременен полски език (Синтаксис)</t>
  </si>
  <si>
    <t>Съвременен полски език (Фонетика)</t>
  </si>
  <si>
    <t>Съвременен сръбски и хърватски език (Лексикология и словообразуване)</t>
  </si>
  <si>
    <t>Съвременен сръбски и хърватски език (Морфология)</t>
  </si>
  <si>
    <t>Съвременен сръбски и хърватски език (Синтаксис)</t>
  </si>
  <si>
    <t>Съвременен сръбски и хърватски език (Фонетика)</t>
  </si>
  <si>
    <t xml:space="preserve">Съвременен френски език ( Лексикология и семантика) </t>
  </si>
  <si>
    <t xml:space="preserve">Съвременен френски език ( Морфология ) </t>
  </si>
  <si>
    <t xml:space="preserve">Съвременен френски език ( Синтаксис ) </t>
  </si>
  <si>
    <t xml:space="preserve">Съвременен френски език (Стилистика) </t>
  </si>
  <si>
    <t xml:space="preserve">Съвременен френски език (фонетика) </t>
  </si>
  <si>
    <t>Съвременен чешки език (Лексикология и словообразуване)</t>
  </si>
  <si>
    <t>Съвременен чешки език (Морфология)</t>
  </si>
  <si>
    <t>Съвременен чешки език (Синтаксис)</t>
  </si>
  <si>
    <t>Съвременен чешки език (Фонетика)</t>
  </si>
  <si>
    <t>Съвременен чужд език (Лексикология)</t>
  </si>
  <si>
    <t>Съвременен чужд език (Морфосинтаксис)</t>
  </si>
  <si>
    <t>Съвременен чужд език (Фонетика)</t>
  </si>
  <si>
    <t>Текуща педагогическа практика</t>
  </si>
  <si>
    <t>Текуща педагогическа практика ( Френски език и литература )</t>
  </si>
  <si>
    <t>Текуща педагогическа практика (Руски език и литература)</t>
  </si>
  <si>
    <t xml:space="preserve">Теория на превода </t>
  </si>
  <si>
    <t>Теория на превода (Втори чужд език)</t>
  </si>
  <si>
    <t>Теория на превода (Общ курс - английски език)</t>
  </si>
  <si>
    <t>Увод в компютърната лингвистика</t>
  </si>
  <si>
    <t>Увод в славянската филология</t>
  </si>
  <si>
    <t>ФД</t>
  </si>
  <si>
    <t>Учебна дисциплина</t>
  </si>
  <si>
    <t xml:space="preserve">Факултативна дисциплина 1 </t>
  </si>
  <si>
    <t>Факултативна дисциплина 1 (Английски език)</t>
  </si>
  <si>
    <t>Факултативна дисциплина 1 (Европейски политики)</t>
  </si>
  <si>
    <t>Факултативна дисциплина 1 (Литературоведска)</t>
  </si>
  <si>
    <t xml:space="preserve">Факултативна дисциплина 2 </t>
  </si>
  <si>
    <t>Факултативна дисциплина 2 (Английски език)</t>
  </si>
  <si>
    <t>Факултативна дисциплина 2 (Връзки с обществеността или бизнес комуникации)</t>
  </si>
  <si>
    <t>Факултативна дисциплина 2 (Езиковедска)</t>
  </si>
  <si>
    <t xml:space="preserve">Факултативна дисциплина 2: (Втори чужд – испански език) </t>
  </si>
  <si>
    <t>Факултативна дисциплина 3 (Английски език)</t>
  </si>
  <si>
    <t>Факултативна дисциплина 3 (Икономическа)</t>
  </si>
  <si>
    <t>Факултативна дисциплина 3 (ИТ в ономастиката)</t>
  </si>
  <si>
    <t>Факултативна дисциплина 3 (Литературоведска)</t>
  </si>
  <si>
    <t>Факултативна дисциплина 3: (Втори чужд език-испански)</t>
  </si>
  <si>
    <t>Факултативна дисциплина 4 (Английски език)</t>
  </si>
  <si>
    <t>Факултативна дисциплина 4 (Езиковедска)</t>
  </si>
  <si>
    <t>Факултативна дисциплина 4 (Редактиране на текст)</t>
  </si>
  <si>
    <t xml:space="preserve">Факултативна дисциплина 4: (Интензивни методи за обуч. по чужд език и тестов контрол ) </t>
  </si>
  <si>
    <t>Факултативна дисциплина 5 (Литературоведска)</t>
  </si>
  <si>
    <t>Факултативна дисциплина 6</t>
  </si>
  <si>
    <t>Факултативна дисциплина 6 (Езиковедска)</t>
  </si>
  <si>
    <t>Факултативна дисциплина 7 (Литературоведска)</t>
  </si>
  <si>
    <t>Факултативна дисциплина 8 (Езиковедска)</t>
  </si>
  <si>
    <t xml:space="preserve">Факултативна дисциплина1: (Втори чужд -испански) </t>
  </si>
  <si>
    <t xml:space="preserve">Френска литература (Класицизъм и просвещение) </t>
  </si>
  <si>
    <t xml:space="preserve">Френска литература (Модернизъм - ХХ, ХХІв.) </t>
  </si>
  <si>
    <t xml:space="preserve">Френска литература (Реализъм и символизъм) </t>
  </si>
  <si>
    <t xml:space="preserve">Френска литература (Ренесанс) </t>
  </si>
  <si>
    <t xml:space="preserve">Френска литература (Романтизъм) </t>
  </si>
  <si>
    <t xml:space="preserve">Френска литература (Средновековие) </t>
  </si>
  <si>
    <t>Френски език ( Практически курс )</t>
  </si>
  <si>
    <t>Хоспетиране</t>
  </si>
  <si>
    <t xml:space="preserve">Хоспетиране </t>
  </si>
  <si>
    <t>Хоспитиране ( Френски език и литература )</t>
  </si>
  <si>
    <t>Чешки език (Практически курс)</t>
  </si>
  <si>
    <t xml:space="preserve">Чешки език (Практически курс) </t>
  </si>
  <si>
    <t>Чужд език (Практически курс)</t>
  </si>
  <si>
    <t>райкова</t>
  </si>
  <si>
    <t>AO</t>
  </si>
  <si>
    <t>СУ</t>
  </si>
  <si>
    <t>Преподавател</t>
  </si>
  <si>
    <t>Възраст</t>
  </si>
  <si>
    <t>Договор</t>
  </si>
  <si>
    <t>Код</t>
  </si>
  <si>
    <t>джамбов</t>
  </si>
  <si>
    <t>ОИД</t>
  </si>
  <si>
    <t>зидарова</t>
  </si>
  <si>
    <t>кръстанова</t>
  </si>
  <si>
    <t>странджева</t>
  </si>
  <si>
    <t>митрев</t>
  </si>
  <si>
    <t>козлуджов</t>
  </si>
  <si>
    <t>чобанов</t>
  </si>
  <si>
    <t>йовчева</t>
  </si>
  <si>
    <t>тончева</t>
  </si>
  <si>
    <t>козарова</t>
  </si>
  <si>
    <t>комсалова</t>
  </si>
  <si>
    <t>димитров</t>
  </si>
  <si>
    <t>радев</t>
  </si>
  <si>
    <t>стаматов</t>
  </si>
  <si>
    <t>гайдаджиева</t>
  </si>
  <si>
    <t>гетова</t>
  </si>
  <si>
    <t>диванова</t>
  </si>
  <si>
    <t>кацаров</t>
  </si>
  <si>
    <t>нейчев</t>
  </si>
  <si>
    <t>черпокова</t>
  </si>
  <si>
    <t>маровска</t>
  </si>
  <si>
    <t>живанов</t>
  </si>
  <si>
    <t>ХОН</t>
  </si>
  <si>
    <t>лспасов</t>
  </si>
  <si>
    <t>спилкова</t>
  </si>
  <si>
    <t>гарушева</t>
  </si>
  <si>
    <t>бъркалова</t>
  </si>
  <si>
    <t>ичевска</t>
  </si>
  <si>
    <t>дженкинс</t>
  </si>
  <si>
    <t>бучков</t>
  </si>
  <si>
    <t>пенев</t>
  </si>
  <si>
    <t>мгрънчаров</t>
  </si>
  <si>
    <t>хранова</t>
  </si>
  <si>
    <t>костурков</t>
  </si>
  <si>
    <t>матюсън</t>
  </si>
  <si>
    <t>мкръстева</t>
  </si>
  <si>
    <t>манчоров</t>
  </si>
  <si>
    <t>протохристова</t>
  </si>
  <si>
    <t>ккуцаров</t>
  </si>
  <si>
    <t>русков</t>
  </si>
  <si>
    <t>вкостадинова</t>
  </si>
  <si>
    <t>самалиева</t>
  </si>
  <si>
    <t>липчева</t>
  </si>
  <si>
    <t>кузова</t>
  </si>
  <si>
    <t>георгиева</t>
  </si>
  <si>
    <t>етомова</t>
  </si>
  <si>
    <t>ючакърова</t>
  </si>
  <si>
    <t>куцаров</t>
  </si>
  <si>
    <t>чернева</t>
  </si>
  <si>
    <t>арбова</t>
  </si>
  <si>
    <t>ненкова</t>
  </si>
  <si>
    <t>кънчев</t>
  </si>
  <si>
    <t>моллов</t>
  </si>
  <si>
    <t>сиаботару</t>
  </si>
  <si>
    <t>петрова</t>
  </si>
  <si>
    <t>дниколова</t>
  </si>
  <si>
    <t>пороманска</t>
  </si>
  <si>
    <t>павликянов</t>
  </si>
  <si>
    <t>Франдзецакис</t>
  </si>
  <si>
    <t>ас. Никос Франдзезакис</t>
  </si>
  <si>
    <t>тагарева</t>
  </si>
  <si>
    <t>брусева</t>
  </si>
  <si>
    <t>добрев</t>
  </si>
  <si>
    <t>карагюл</t>
  </si>
  <si>
    <t>явузаслан</t>
  </si>
  <si>
    <t>чонгарова</t>
  </si>
  <si>
    <t>салджиев</t>
  </si>
  <si>
    <t>хун</t>
  </si>
  <si>
    <t>иванчев</t>
  </si>
  <si>
    <t>карастойчев</t>
  </si>
  <si>
    <t>шахинян</t>
  </si>
  <si>
    <t>Обща сума</t>
  </si>
  <si>
    <t>христова</t>
  </si>
  <si>
    <t>карапеткова</t>
  </si>
  <si>
    <t>янева</t>
  </si>
  <si>
    <t>тилева</t>
  </si>
  <si>
    <t>тодоров</t>
  </si>
  <si>
    <t>бойкова</t>
  </si>
  <si>
    <t>минкова</t>
  </si>
  <si>
    <t xml:space="preserve">Български език и руски език </t>
  </si>
  <si>
    <t>Български език и английски език</t>
  </si>
  <si>
    <t>Български език и новогръцки език</t>
  </si>
  <si>
    <t>Български език и италиански език</t>
  </si>
  <si>
    <t>Български език и история</t>
  </si>
  <si>
    <t>Български език и испански език</t>
  </si>
  <si>
    <t>Български език и турски език</t>
  </si>
  <si>
    <t>Български език и китайски език</t>
  </si>
  <si>
    <t>Български език и руски език - задочно</t>
  </si>
  <si>
    <t>Български език и история - задочно</t>
  </si>
  <si>
    <t>ОТД/ХОН</t>
  </si>
  <si>
    <t>ХАБ/ДОКТОР</t>
  </si>
  <si>
    <t>СР.ВЪЗРАСТ</t>
  </si>
  <si>
    <t>ПРОФИ/ОБЩО</t>
  </si>
  <si>
    <t>ПРОФ С УЧЕБНИЦИ/БЕЗ УЧЕБНИЦИ</t>
  </si>
  <si>
    <t>Възрастова структура</t>
  </si>
  <si>
    <t>Общофилологически</t>
  </si>
  <si>
    <t xml:space="preserve">Педагогически </t>
  </si>
  <si>
    <t>Практически</t>
  </si>
  <si>
    <t xml:space="preserve">Избираеми </t>
  </si>
  <si>
    <t>Факултативни</t>
  </si>
  <si>
    <t>Профилиращи дисциплини</t>
  </si>
  <si>
    <t>Преподаватели</t>
  </si>
  <si>
    <t>ОБЩО КУРСОВЕ/НОВИ</t>
  </si>
  <si>
    <t>20 – 29 год.</t>
  </si>
  <si>
    <t>30 – 39 год.</t>
  </si>
  <si>
    <t>40 – 49 год.</t>
  </si>
  <si>
    <t>50 – 59 год.</t>
  </si>
  <si>
    <t>60 год. и над</t>
  </si>
  <si>
    <t>Профилираща структура</t>
  </si>
  <si>
    <t>Квалификационна структура</t>
  </si>
  <si>
    <t>Доцент</t>
  </si>
  <si>
    <t>Професор</t>
  </si>
  <si>
    <t>Главен асистент д-р</t>
  </si>
  <si>
    <t>Главен асистент</t>
  </si>
  <si>
    <t>Асистент</t>
  </si>
  <si>
    <t>процент</t>
  </si>
  <si>
    <t>Задължителни дисциплини с лекционен курс</t>
  </si>
  <si>
    <t>Задължителни дисциплини без лекционен курс</t>
  </si>
  <si>
    <t xml:space="preserve">Избираеми дисциплини </t>
  </si>
  <si>
    <t>Факултативни дисциплини</t>
  </si>
  <si>
    <t>СУМА</t>
  </si>
  <si>
    <t>q</t>
  </si>
  <si>
    <t>ХАБ/ДОКТ</t>
  </si>
  <si>
    <t>ПРОФИ/УЧЕБНИЦИ</t>
  </si>
  <si>
    <t>НОВИ КУРСОВЕ</t>
  </si>
  <si>
    <t>Учебници по СПЕ</t>
  </si>
  <si>
    <t>Избираема дисциплина 2 (Руски език)</t>
  </si>
  <si>
    <t>Л2</t>
  </si>
  <si>
    <t>(Няколко елемента)</t>
  </si>
  <si>
    <t>доц. д-р Елена Гетова</t>
  </si>
  <si>
    <t>проф. дфн Любка Липчева-Пранджева</t>
  </si>
  <si>
    <t>доц. д-р Иван Русков</t>
  </si>
  <si>
    <t>проф. д-р Пеньо Пенев</t>
  </si>
  <si>
    <t>гл. ас. д-р Аделина Странджева</t>
  </si>
  <si>
    <t>гл. ас. д-р Майя Кузова</t>
  </si>
  <si>
    <t>доц. д-р Христина Тончева</t>
  </si>
  <si>
    <t>проф. дфн Диана Иванова</t>
  </si>
  <si>
    <t>доц. д-р Пенка Гарушева-Карамалакова</t>
  </si>
  <si>
    <t>доц. д-р Соня Спилкова</t>
  </si>
  <si>
    <t>гл. ас. д-р Надя Чернева</t>
  </si>
  <si>
    <t>проф. д.п.н. Пламен Радев</t>
  </si>
  <si>
    <t>проф. д.п.н. Румен Стаматов</t>
  </si>
  <si>
    <t>доц. д-р  Елена Томова</t>
  </si>
  <si>
    <t>доц. д-р Николай Нейчев</t>
  </si>
  <si>
    <t>гл. ас. д-р Кръстина Арбова</t>
  </si>
  <si>
    <t>проф. дфн Иван Куцаров</t>
  </si>
  <si>
    <t>гл. ас. д-р Иванка Гайдаджиева</t>
  </si>
  <si>
    <t>доц. д-р Петя Бъркалова</t>
  </si>
  <si>
    <t>доц. дфн Вера Маровска</t>
  </si>
  <si>
    <t>доц. д-р Ваня Зидарова</t>
  </si>
  <si>
    <t>проф. д-р Стефка Георгиева</t>
  </si>
  <si>
    <t>гл. ас. д-р Юлиана Чакърова-Бурлакова</t>
  </si>
  <si>
    <t>проф. д-р Запрян Козлуджов</t>
  </si>
  <si>
    <t>доц. д-р Иван Чобанов</t>
  </si>
  <si>
    <t>СПЕ/ОБЩО</t>
  </si>
  <si>
    <t>Общо</t>
  </si>
  <si>
    <t>проф.</t>
  </si>
  <si>
    <t>доц.</t>
  </si>
  <si>
    <t>гл. ас. д-р</t>
  </si>
  <si>
    <t>гл. ас.</t>
  </si>
  <si>
    <t>ас.</t>
  </si>
  <si>
    <t>общо</t>
  </si>
  <si>
    <t>ОБОБЩЕНА ВЪЗРАСТОВА СТРУКТУРА</t>
  </si>
  <si>
    <t>Професори</t>
  </si>
  <si>
    <t>Доценти</t>
  </si>
  <si>
    <t>Гл. асистенти д-р</t>
  </si>
  <si>
    <t>Главни асистенти</t>
  </si>
  <si>
    <t>Асистенти</t>
  </si>
  <si>
    <t>25-35</t>
  </si>
  <si>
    <t>36-45</t>
  </si>
  <si>
    <t>46-55</t>
  </si>
  <si>
    <t>56-70</t>
  </si>
  <si>
    <t>С докторска степен</t>
  </si>
  <si>
    <t>Без докторска степен</t>
  </si>
  <si>
    <t>Със степен доктор на науките</t>
  </si>
  <si>
    <t>ОБЩО</t>
  </si>
  <si>
    <t>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</si>
</sst>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Calibri"/>
      <family val="2"/>
      <charset val="204"/>
    </font>
    <font>
      <b/>
      <sz val="1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0"/>
      <color rgb="FFFFFF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E6E6"/>
        <bgColor indexed="64"/>
      </patternFill>
    </fill>
  </fills>
  <borders count="39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theme="3" tint="-0.499984740745262"/>
      </left>
      <right style="hair">
        <color theme="3" tint="-0.499984740745262"/>
      </right>
      <top style="thick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hair">
        <color theme="3" tint="-0.499984740745262"/>
      </right>
      <top style="thick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thick">
        <color theme="3" tint="-0.499984740745262"/>
      </right>
      <top style="thick">
        <color theme="3" tint="-0.499984740745262"/>
      </top>
      <bottom style="hair">
        <color theme="3" tint="-0.499984740745262"/>
      </bottom>
      <diagonal/>
    </border>
    <border>
      <left style="thick">
        <color theme="3" tint="-0.499984740745262"/>
      </left>
      <right style="hair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hair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hair">
        <color theme="3" tint="-0.499984740745262"/>
      </left>
      <right style="thick">
        <color theme="3" tint="-0.499984740745262"/>
      </right>
      <top style="hair">
        <color theme="3" tint="-0.499984740745262"/>
      </top>
      <bottom style="hair">
        <color theme="3" tint="-0.499984740745262"/>
      </bottom>
      <diagonal/>
    </border>
    <border>
      <left style="thick">
        <color theme="3" tint="-0.499984740745262"/>
      </left>
      <right style="hair">
        <color theme="3" tint="-0.499984740745262"/>
      </right>
      <top style="hair">
        <color theme="3" tint="-0.499984740745262"/>
      </top>
      <bottom style="thick">
        <color theme="3" tint="-0.499984740745262"/>
      </bottom>
      <diagonal/>
    </border>
    <border>
      <left style="hair">
        <color theme="3" tint="-0.499984740745262"/>
      </left>
      <right style="hair">
        <color theme="3" tint="-0.499984740745262"/>
      </right>
      <top style="hair">
        <color theme="3" tint="-0.499984740745262"/>
      </top>
      <bottom style="thick">
        <color theme="3" tint="-0.499984740745262"/>
      </bottom>
      <diagonal/>
    </border>
    <border>
      <left style="hair">
        <color theme="3" tint="-0.499984740745262"/>
      </left>
      <right style="thick">
        <color theme="3" tint="-0.499984740745262"/>
      </right>
      <top style="hair">
        <color theme="3" tint="-0.499984740745262"/>
      </top>
      <bottom style="thick">
        <color theme="3" tint="-0.499984740745262"/>
      </bottom>
      <diagonal/>
    </border>
    <border>
      <left style="thick">
        <color theme="3" tint="-0.499984740745262"/>
      </left>
      <right style="hair">
        <color theme="3" tint="-0.499984740745262"/>
      </right>
      <top style="hair">
        <color theme="3" tint="-0.499984740745262"/>
      </top>
      <bottom/>
      <diagonal/>
    </border>
    <border>
      <left style="hair">
        <color theme="3" tint="-0.499984740745262"/>
      </left>
      <right style="hair">
        <color theme="3" tint="-0.499984740745262"/>
      </right>
      <top style="hair">
        <color theme="3" tint="-0.499984740745262"/>
      </top>
      <bottom/>
      <diagonal/>
    </border>
    <border>
      <left style="hair">
        <color theme="3" tint="-0.499984740745262"/>
      </left>
      <right style="thick">
        <color theme="3" tint="-0.499984740745262"/>
      </right>
      <top style="hair">
        <color theme="3" tint="-0.499984740745262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6" fillId="0" borderId="0"/>
    <xf numFmtId="0" fontId="11" fillId="0" borderId="0"/>
    <xf numFmtId="0" fontId="6" fillId="0" borderId="0"/>
    <xf numFmtId="0" fontId="3" fillId="0" borderId="0"/>
    <xf numFmtId="0" fontId="14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4" fillId="0" borderId="1" xfId="0" applyFont="1" applyFill="1" applyBorder="1" applyAlignment="1">
      <alignment horizontal="center" vertical="center" shrinkToFit="1" readingOrder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right" vertical="top" shrinkToFit="1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 shrinkToFit="1" readingOrder="1"/>
    </xf>
    <xf numFmtId="0" fontId="4" fillId="0" borderId="1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right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right" vertical="center" shrinkToFit="1" readingOrder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top" shrinkToFit="1"/>
    </xf>
    <xf numFmtId="0" fontId="5" fillId="2" borderId="1" xfId="0" applyFont="1" applyFill="1" applyBorder="1" applyAlignment="1">
      <alignment vertical="center" shrinkToFit="1" readingOrder="1"/>
    </xf>
    <xf numFmtId="0" fontId="5" fillId="3" borderId="1" xfId="0" applyFont="1" applyFill="1" applyBorder="1" applyAlignment="1">
      <alignment vertical="center" shrinkToFit="1" readingOrder="1"/>
    </xf>
    <xf numFmtId="0" fontId="0" fillId="0" borderId="0" xfId="0" applyFont="1"/>
    <xf numFmtId="0" fontId="4" fillId="0" borderId="1" xfId="0" applyFont="1" applyFill="1" applyBorder="1" applyAlignment="1">
      <alignment vertical="center" shrinkToFit="1" readingOrder="1"/>
    </xf>
    <xf numFmtId="0" fontId="5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center" vertical="center" shrinkToFit="1" readingOrder="1"/>
    </xf>
    <xf numFmtId="0" fontId="4" fillId="0" borderId="3" xfId="0" applyFont="1" applyFill="1" applyBorder="1" applyAlignment="1">
      <alignment horizontal="center" vertical="center" shrinkToFit="1" readingOrder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 readingOrder="1"/>
    </xf>
    <xf numFmtId="0" fontId="4" fillId="0" borderId="6" xfId="0" applyFont="1" applyFill="1" applyBorder="1" applyAlignment="1">
      <alignment horizontal="center" vertical="center" shrinkToFit="1" readingOrder="1"/>
    </xf>
    <xf numFmtId="0" fontId="5" fillId="0" borderId="6" xfId="0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right" vertical="top" shrinkToFit="1"/>
    </xf>
    <xf numFmtId="0" fontId="5" fillId="0" borderId="5" xfId="0" applyFont="1" applyFill="1" applyBorder="1" applyAlignment="1">
      <alignment vertical="center" shrinkToFit="1" readingOrder="1"/>
    </xf>
    <xf numFmtId="0" fontId="5" fillId="0" borderId="6" xfId="0" applyFont="1" applyFill="1" applyBorder="1" applyAlignment="1">
      <alignment vertical="center" shrinkToFit="1" readingOrder="1"/>
    </xf>
    <xf numFmtId="0" fontId="5" fillId="0" borderId="7" xfId="0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vertical="center" shrinkToFit="1" readingOrder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right" shrinkToFit="1"/>
    </xf>
    <xf numFmtId="0" fontId="5" fillId="0" borderId="6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right" vertical="center" shrinkToFit="1" readingOrder="1"/>
    </xf>
    <xf numFmtId="0" fontId="10" fillId="0" borderId="9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right" shrinkToFit="1"/>
    </xf>
    <xf numFmtId="0" fontId="5" fillId="0" borderId="11" xfId="0" applyFont="1" applyFill="1" applyBorder="1" applyAlignment="1">
      <alignment vertical="center" shrinkToFit="1" readingOrder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right" shrinkToFi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vertical="center" shrinkToFit="1" readingOrder="1"/>
    </xf>
    <xf numFmtId="0" fontId="5" fillId="4" borderId="1" xfId="0" applyFont="1" applyFill="1" applyBorder="1" applyAlignment="1">
      <alignment vertical="center" shrinkToFit="1" readingOrder="1"/>
    </xf>
    <xf numFmtId="0" fontId="5" fillId="5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right" shrinkToFi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6" borderId="0" xfId="0" applyFont="1" applyFill="1" applyAlignment="1"/>
    <xf numFmtId="0" fontId="5" fillId="0" borderId="0" xfId="0" applyFont="1" applyFill="1" applyBorder="1" applyAlignment="1">
      <alignment vertical="center" readingOrder="1"/>
    </xf>
    <xf numFmtId="0" fontId="5" fillId="6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1" xfId="0" applyFont="1" applyFill="1" applyBorder="1" applyAlignment="1">
      <alignment vertical="center" readingOrder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readingOrder="1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readingOrder="1"/>
    </xf>
    <xf numFmtId="0" fontId="5" fillId="0" borderId="1" xfId="0" applyFont="1" applyBorder="1" applyAlignment="1">
      <alignment horizontal="center" vertical="center" readingOrder="1"/>
    </xf>
    <xf numFmtId="0" fontId="0" fillId="0" borderId="0" xfId="0" applyFont="1" applyAlignment="1">
      <alignment horizontal="center" vertical="center" readingOrder="1"/>
    </xf>
    <xf numFmtId="0" fontId="0" fillId="0" borderId="0" xfId="0" applyAlignment="1">
      <alignment horizontal="center" vertical="center" readingOrder="1"/>
    </xf>
    <xf numFmtId="0" fontId="9" fillId="0" borderId="1" xfId="0" applyFont="1" applyFill="1" applyBorder="1" applyAlignment="1">
      <alignment vertical="center" readingOrder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readingOrder="1"/>
    </xf>
    <xf numFmtId="0" fontId="6" fillId="0" borderId="0" xfId="0" applyFont="1"/>
    <xf numFmtId="0" fontId="0" fillId="0" borderId="0" xfId="0" pivotButton="1"/>
    <xf numFmtId="0" fontId="5" fillId="2" borderId="5" xfId="0" applyFont="1" applyFill="1" applyBorder="1" applyAlignment="1">
      <alignment vertical="center" shrinkToFit="1" readingOrder="1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readingOrder="1"/>
    </xf>
    <xf numFmtId="0" fontId="12" fillId="0" borderId="0" xfId="0" applyFont="1"/>
    <xf numFmtId="0" fontId="12" fillId="0" borderId="0" xfId="0" applyFont="1" applyAlignment="1">
      <alignment textRotation="90"/>
    </xf>
    <xf numFmtId="0" fontId="0" fillId="0" borderId="12" xfId="0" applyBorder="1"/>
    <xf numFmtId="0" fontId="15" fillId="4" borderId="13" xfId="0" applyFont="1" applyFill="1" applyBorder="1" applyAlignment="1">
      <alignment horizontal="center" textRotation="90"/>
    </xf>
    <xf numFmtId="0" fontId="15" fillId="4" borderId="14" xfId="0" applyFont="1" applyFill="1" applyBorder="1" applyAlignment="1">
      <alignment horizontal="center" textRotation="9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0" borderId="15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17" fillId="4" borderId="16" xfId="0" applyFont="1" applyFill="1" applyBorder="1"/>
    <xf numFmtId="0" fontId="17" fillId="4" borderId="17" xfId="0" applyFont="1" applyFill="1" applyBorder="1"/>
    <xf numFmtId="0" fontId="17" fillId="4" borderId="13" xfId="0" applyFont="1" applyFill="1" applyBorder="1"/>
    <xf numFmtId="0" fontId="17" fillId="4" borderId="14" xfId="0" applyFont="1" applyFill="1" applyBorder="1"/>
    <xf numFmtId="10" fontId="6" fillId="7" borderId="16" xfId="0" applyNumberFormat="1" applyFont="1" applyFill="1" applyBorder="1"/>
    <xf numFmtId="10" fontId="18" fillId="7" borderId="16" xfId="0" applyNumberFormat="1" applyFont="1" applyFill="1" applyBorder="1"/>
    <xf numFmtId="2" fontId="18" fillId="7" borderId="16" xfId="0" applyNumberFormat="1" applyFont="1" applyFill="1" applyBorder="1"/>
    <xf numFmtId="2" fontId="18" fillId="7" borderId="22" xfId="0" applyNumberFormat="1" applyFont="1" applyFill="1" applyBorder="1"/>
    <xf numFmtId="0" fontId="4" fillId="0" borderId="0" xfId="0" applyFont="1" applyFill="1" applyBorder="1" applyAlignment="1">
      <alignment horizontal="center" vertical="center" shrinkToFit="1" readingOrder="1"/>
    </xf>
    <xf numFmtId="2" fontId="18" fillId="7" borderId="16" xfId="0" applyNumberFormat="1" applyFont="1" applyFill="1" applyBorder="1" applyAlignment="1">
      <alignment horizontal="right"/>
    </xf>
    <xf numFmtId="2" fontId="18" fillId="7" borderId="22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 vertical="center" shrinkToFit="1" readingOrder="1"/>
    </xf>
    <xf numFmtId="0" fontId="19" fillId="0" borderId="0" xfId="0" applyFont="1" applyFill="1" applyBorder="1" applyAlignment="1">
      <alignment horizontal="center" vertical="center" shrinkToFit="1" readingOrder="1"/>
    </xf>
    <xf numFmtId="0" fontId="0" fillId="0" borderId="24" xfId="0" pivotButton="1" applyBorder="1"/>
    <xf numFmtId="0" fontId="0" fillId="0" borderId="25" xfId="0" pivotButton="1" applyBorder="1"/>
    <xf numFmtId="0" fontId="0" fillId="0" borderId="26" xfId="0" pivotButton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1" fontId="18" fillId="7" borderId="16" xfId="0" applyNumberFormat="1" applyFont="1" applyFill="1" applyBorder="1"/>
    <xf numFmtId="1" fontId="18" fillId="7" borderId="22" xfId="0" applyNumberFormat="1" applyFont="1" applyFill="1" applyBorder="1"/>
    <xf numFmtId="0" fontId="2" fillId="0" borderId="0" xfId="6"/>
    <xf numFmtId="0" fontId="21" fillId="0" borderId="5" xfId="6" applyFont="1" applyBorder="1" applyAlignment="1">
      <alignment horizontal="left" vertical="center" wrapText="1"/>
    </xf>
    <xf numFmtId="0" fontId="21" fillId="0" borderId="6" xfId="6" applyFont="1" applyBorder="1" applyAlignment="1">
      <alignment horizontal="left" vertical="center" wrapText="1"/>
    </xf>
    <xf numFmtId="0" fontId="21" fillId="0" borderId="6" xfId="6" applyFont="1" applyBorder="1" applyAlignment="1">
      <alignment horizontal="center" vertical="center" wrapText="1"/>
    </xf>
    <xf numFmtId="0" fontId="21" fillId="8" borderId="7" xfId="6" applyFont="1" applyFill="1" applyBorder="1" applyAlignment="1">
      <alignment horizontal="center" vertical="center" wrapText="1"/>
    </xf>
    <xf numFmtId="0" fontId="21" fillId="0" borderId="5" xfId="6" applyFont="1" applyBorder="1" applyAlignment="1">
      <alignment horizontal="left" vertical="center" wrapText="1" indent="1"/>
    </xf>
    <xf numFmtId="0" fontId="21" fillId="0" borderId="6" xfId="6" applyFont="1" applyBorder="1" applyAlignment="1">
      <alignment horizontal="right" vertical="center" wrapText="1" indent="3"/>
    </xf>
    <xf numFmtId="0" fontId="21" fillId="0" borderId="7" xfId="6" applyFont="1" applyBorder="1" applyAlignment="1">
      <alignment horizontal="right" vertical="center" wrapText="1" indent="3"/>
    </xf>
    <xf numFmtId="0" fontId="2" fillId="0" borderId="5" xfId="6" applyBorder="1"/>
    <xf numFmtId="0" fontId="21" fillId="8" borderId="6" xfId="6" applyFont="1" applyFill="1" applyBorder="1" applyAlignment="1">
      <alignment horizontal="center" vertical="center" wrapText="1"/>
    </xf>
    <xf numFmtId="0" fontId="2" fillId="0" borderId="6" xfId="6" applyBorder="1"/>
    <xf numFmtId="0" fontId="2" fillId="0" borderId="7" xfId="6" applyBorder="1"/>
    <xf numFmtId="0" fontId="21" fillId="0" borderId="8" xfId="6" applyFont="1" applyBorder="1" applyAlignment="1">
      <alignment horizontal="right" vertical="center" wrapText="1" indent="3"/>
    </xf>
    <xf numFmtId="0" fontId="21" fillId="0" borderId="9" xfId="6" applyFont="1" applyBorder="1" applyAlignment="1">
      <alignment horizontal="right" vertical="center" wrapText="1" indent="3"/>
    </xf>
    <xf numFmtId="0" fontId="2" fillId="0" borderId="9" xfId="6" applyBorder="1"/>
    <xf numFmtId="0" fontId="2" fillId="0" borderId="10" xfId="6" applyBorder="1"/>
    <xf numFmtId="0" fontId="5" fillId="6" borderId="0" xfId="0" applyFont="1" applyFill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16" fillId="4" borderId="14" xfId="0" applyFont="1" applyFill="1" applyBorder="1" applyAlignment="1">
      <alignment horizontal="center"/>
    </xf>
    <xf numFmtId="0" fontId="20" fillId="8" borderId="33" xfId="6" applyFont="1" applyFill="1" applyBorder="1" applyAlignment="1">
      <alignment horizontal="center" vertical="center" wrapText="1"/>
    </xf>
    <xf numFmtId="0" fontId="20" fillId="8" borderId="34" xfId="6" applyFont="1" applyFill="1" applyBorder="1" applyAlignment="1">
      <alignment horizontal="center" vertical="center" wrapText="1"/>
    </xf>
    <xf numFmtId="0" fontId="20" fillId="8" borderId="35" xfId="6" applyFont="1" applyFill="1" applyBorder="1" applyAlignment="1">
      <alignment horizontal="center" vertical="center" wrapText="1"/>
    </xf>
    <xf numFmtId="0" fontId="22" fillId="8" borderId="33" xfId="6" applyFont="1" applyFill="1" applyBorder="1" applyAlignment="1">
      <alignment horizontal="center" vertical="center" wrapText="1"/>
    </xf>
    <xf numFmtId="0" fontId="22" fillId="8" borderId="34" xfId="6" applyFont="1" applyFill="1" applyBorder="1" applyAlignment="1">
      <alignment horizontal="center" vertical="center" wrapText="1"/>
    </xf>
    <xf numFmtId="0" fontId="22" fillId="8" borderId="35" xfId="6" applyFont="1" applyFill="1" applyBorder="1" applyAlignment="1">
      <alignment horizontal="center" vertical="center" wrapText="1"/>
    </xf>
    <xf numFmtId="0" fontId="22" fillId="8" borderId="36" xfId="6" applyFont="1" applyFill="1" applyBorder="1" applyAlignment="1">
      <alignment horizontal="center" vertical="center" wrapText="1"/>
    </xf>
    <xf numFmtId="0" fontId="22" fillId="8" borderId="37" xfId="6" applyFont="1" applyFill="1" applyBorder="1" applyAlignment="1">
      <alignment horizontal="center" vertical="center" wrapText="1"/>
    </xf>
    <xf numFmtId="0" fontId="22" fillId="8" borderId="38" xfId="6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</cellXfs>
  <cellStyles count="8">
    <cellStyle name="Normal 2" xfId="1"/>
    <cellStyle name="Нормален" xfId="0" builtinId="0"/>
    <cellStyle name="Нормален 2" xfId="2"/>
    <cellStyle name="Нормален 2 2" xfId="3"/>
    <cellStyle name="Нормален 2 3" xfId="5"/>
    <cellStyle name="Нормален 3" xfId="4"/>
    <cellStyle name="Нормален 4" xfId="6"/>
    <cellStyle name="Нормален 5" xfId="7"/>
  </cellStyles>
  <dxfs count="108"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ОБОБЩЕНА ВЪЗРАСТОВА СТРУКТУРА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'Възрастова структура'!$A$3</c:f>
              <c:strCache>
                <c:ptCount val="1"/>
                <c:pt idx="0">
                  <c:v>25-35</c:v>
                </c:pt>
              </c:strCache>
            </c:strRef>
          </c:tx>
          <c:invertIfNegative val="0"/>
          <c:dLbls>
            <c:spPr>
              <a:solidFill>
                <a:schemeClr val="lt1"/>
              </a:solidFill>
              <a:ln w="2540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'Възрастова структура'!$B$2:$F$2</c:f>
              <c:strCache>
                <c:ptCount val="5"/>
                <c:pt idx="0">
                  <c:v>Професори</c:v>
                </c:pt>
                <c:pt idx="1">
                  <c:v>Доценти</c:v>
                </c:pt>
                <c:pt idx="2">
                  <c:v>Гл. асистенти д-р</c:v>
                </c:pt>
                <c:pt idx="3">
                  <c:v>Главни асистенти</c:v>
                </c:pt>
                <c:pt idx="4">
                  <c:v>Асистенти</c:v>
                </c:pt>
              </c:strCache>
            </c:strRef>
          </c:cat>
          <c:val>
            <c:numRef>
              <c:f>'Възрастова структура'!$B$3:$F$3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'Възрастова структура'!$A$4</c:f>
              <c:strCache>
                <c:ptCount val="1"/>
                <c:pt idx="0">
                  <c:v>36-45</c:v>
                </c:pt>
              </c:strCache>
            </c:strRef>
          </c:tx>
          <c:invertIfNegative val="0"/>
          <c:dLbls>
            <c:spPr>
              <a:solidFill>
                <a:schemeClr val="lt1"/>
              </a:solidFill>
              <a:ln w="25400" cap="flat" cmpd="sng" algn="ctr">
                <a:solidFill>
                  <a:schemeClr val="accent2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'Възрастова структура'!$B$2:$F$2</c:f>
              <c:strCache>
                <c:ptCount val="5"/>
                <c:pt idx="0">
                  <c:v>Професори</c:v>
                </c:pt>
                <c:pt idx="1">
                  <c:v>Доценти</c:v>
                </c:pt>
                <c:pt idx="2">
                  <c:v>Гл. асистенти д-р</c:v>
                </c:pt>
                <c:pt idx="3">
                  <c:v>Главни асистенти</c:v>
                </c:pt>
                <c:pt idx="4">
                  <c:v>Асистенти</c:v>
                </c:pt>
              </c:strCache>
            </c:strRef>
          </c:cat>
          <c:val>
            <c:numRef>
              <c:f>'Възрастова структура'!$B$4:$F$4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'Възрастова структура'!$A$5</c:f>
              <c:strCache>
                <c:ptCount val="1"/>
                <c:pt idx="0">
                  <c:v>46-55</c:v>
                </c:pt>
              </c:strCache>
            </c:strRef>
          </c:tx>
          <c:invertIfNegative val="0"/>
          <c:dLbls>
            <c:spPr>
              <a:solidFill>
                <a:schemeClr val="lt1"/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'Възрастова структура'!$B$2:$F$2</c:f>
              <c:strCache>
                <c:ptCount val="5"/>
                <c:pt idx="0">
                  <c:v>Професори</c:v>
                </c:pt>
                <c:pt idx="1">
                  <c:v>Доценти</c:v>
                </c:pt>
                <c:pt idx="2">
                  <c:v>Гл. асистенти д-р</c:v>
                </c:pt>
                <c:pt idx="3">
                  <c:v>Главни асистенти</c:v>
                </c:pt>
                <c:pt idx="4">
                  <c:v>Асистенти</c:v>
                </c:pt>
              </c:strCache>
            </c:strRef>
          </c:cat>
          <c:val>
            <c:numRef>
              <c:f>'Възрастова структура'!$B$5:$F$5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'Възрастова структура'!$A$6</c:f>
              <c:strCache>
                <c:ptCount val="1"/>
                <c:pt idx="0">
                  <c:v>56-70</c:v>
                </c:pt>
              </c:strCache>
            </c:strRef>
          </c:tx>
          <c:invertIfNegative val="0"/>
          <c:dLbls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lt1"/>
                    </a:solidFill>
                    <a:latin typeface="+mj-lt"/>
                    <a:ea typeface="+mn-ea"/>
                    <a:cs typeface="+mn-cs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'Възрастова структура'!$B$2:$F$2</c:f>
              <c:strCache>
                <c:ptCount val="5"/>
                <c:pt idx="0">
                  <c:v>Професори</c:v>
                </c:pt>
                <c:pt idx="1">
                  <c:v>Доценти</c:v>
                </c:pt>
                <c:pt idx="2">
                  <c:v>Гл. асистенти д-р</c:v>
                </c:pt>
                <c:pt idx="3">
                  <c:v>Главни асистенти</c:v>
                </c:pt>
                <c:pt idx="4">
                  <c:v>Асистенти</c:v>
                </c:pt>
              </c:strCache>
            </c:strRef>
          </c:cat>
          <c:val>
            <c:numRef>
              <c:f>'Възрастова структура'!$B$6:$F$6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15502080"/>
        <c:axId val="115524352"/>
        <c:axId val="0"/>
      </c:bar3DChart>
      <c:catAx>
        <c:axId val="1155020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bg-BG"/>
          </a:p>
        </c:txPr>
        <c:crossAx val="115524352"/>
        <c:crosses val="autoZero"/>
        <c:auto val="1"/>
        <c:lblAlgn val="ctr"/>
        <c:lblOffset val="100"/>
        <c:noMultiLvlLbl val="0"/>
      </c:catAx>
      <c:valAx>
        <c:axId val="115524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155020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600" b="1"/>
          </a:pPr>
          <a:endParaRPr lang="bg-BG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8000"/>
      </a:blip>
      <a:srcRect/>
      <a:stretch>
        <a:fillRect t="-21000" b="21000"/>
      </a:stretch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83344</xdr:colOff>
      <xdr:row>0</xdr:row>
      <xdr:rowOff>0</xdr:rowOff>
    </xdr:from>
    <xdr:to>
      <xdr:col>19</xdr:col>
      <xdr:colOff>35719</xdr:colOff>
      <xdr:row>10</xdr:row>
      <xdr:rowOff>392906</xdr:rowOff>
    </xdr:to>
    <xdr:graphicFrame macro="">
      <xdr:nvGraphicFramePr>
        <xdr:cNvPr id="2" name="Ди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rstOne/AppData/Local/Temp/Before%20May%202007/&#1057;&#1083;&#1086;&#1074;&#1086;&#1089;&#1072;&#1081;&#1090;/0%20&#1047;&#1072;%202009/&#1054;&#1089;&#1085;&#1086;&#1074;&#1085;&#1080;%20&#1076;&#1072;&#1085;&#1085;&#1080;/0%20NB%20Dean2007/&#1055;&#1083;&#1072;&#1085;&#1086;&#1074;&#1077;/Planbasic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rstOne/AppData/Local/Temp/Before%20May%202007/&#1057;&#1083;&#1086;&#1074;&#1086;&#1089;&#1072;&#1081;&#1090;/0%20&#1047;&#1072;%202009/&#1054;&#1089;&#1085;&#1086;&#1074;&#1085;&#1080;%20&#1076;&#1072;&#1085;&#1085;&#1080;/0%20NB%20Dean2007/&#1055;&#1083;&#1072;&#1085;&#1086;&#1074;&#1077;/ZO_NOL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7;&#1072;&#1094;&#1080;&#1090;&#1077;&#1090;/&#1055;&#1088;&#1080;&#1083;&#1086;&#1078;&#1077;&#1085;&#1080;&#1077;%202b%20(&#1074;&#1098;&#1079;&#1088;&#1072;&#1089;&#1090;&#1086;&#1074;&#1072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rstOne/AppData/Local/Temp/&#1057;&#1072;&#1084;&#1086;&#1086;&#1094;&#1077;&#1085;&#1082;&#1072;/&#1051;&#1080;&#1095;&#1077;&#1085;%20&#1089;&#1098;&#1089;&#1090;&#1072;&#1074;%202007-20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5;&#1077;&#1085;%20&#1089;&#1098;&#1089;&#1090;&#1072;&#1074;%202012%20&#1085;&#1086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IVKO~1/AppData/Local/Temp/PlanBasic-Compromis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plans2012-2013Coun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5;&#1077;&#1085;%20&#1089;&#1098;&#1089;&#1090;&#1072;&#1074;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ългарска филология"/>
      <sheetName val="Славянска филология (полска)"/>
      <sheetName val="Славянска филология (чешка)"/>
      <sheetName val="Славянска филология (србхрв)"/>
      <sheetName val="Английска филология"/>
      <sheetName val="Руска филология"/>
      <sheetName val="Балканистика"/>
      <sheetName val="Български и английски език"/>
      <sheetName val="Български език и немски език"/>
      <sheetName val="Български език и френски език"/>
      <sheetName val="Български и испански език"/>
      <sheetName val="Български език и новогръцки"/>
      <sheetName val="Български език и руски език"/>
      <sheetName val="Български език и история"/>
      <sheetName val="Руски език и английски език"/>
      <sheetName val="Руски език и немски език"/>
      <sheetName val="Руски език и френски език"/>
      <sheetName val="Английски и френски език"/>
      <sheetName val="Българска филология ЗО (4 г.)"/>
      <sheetName val="Руска филология  ЗО (4 г.)"/>
      <sheetName val="Бълг. и руски език  ЗО (4 г.)"/>
      <sheetName val="Български и история, ЗО (4 г.)"/>
      <sheetName val="Българска филология, ЗО (5 г.)"/>
      <sheetName val="Руска филология, ЗО (5 г.)"/>
      <sheetName val="Бълг. и руски език, ЗО (5 г.)"/>
      <sheetName val="Бълг. език и история, ЗО (5 г.)"/>
      <sheetName val="Age"/>
      <sheetName val="AgeLectorOTD"/>
      <sheetName val="AgeAssistentOTD"/>
      <sheetName val="relation"/>
      <sheetName val="личен състав данни"/>
      <sheetName val="weekworkload"/>
      <sheetName val="Code"/>
      <sheetName val="Личен състав (стара база данни)"/>
      <sheetName val="statut"/>
      <sheetName val="Руски език и западен език"/>
      <sheetName val="PSW_Sheet"/>
    </sheetNames>
    <sheetDataSet>
      <sheetData sheetId="0">
        <row r="85">
          <cell r="B85">
            <v>30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1">
          <cell r="A1" t="str">
            <v>Българска филология</v>
          </cell>
          <cell r="B1" t="str">
            <v>Славянска филология (чешка)</v>
          </cell>
          <cell r="C1" t="str">
            <v>Славянска филология (сърбохърватска)</v>
          </cell>
          <cell r="D1" t="str">
            <v>Славянска филология (полска)</v>
          </cell>
          <cell r="E1" t="str">
            <v>Английска филология</v>
          </cell>
          <cell r="F1" t="str">
            <v>Руска филология</v>
          </cell>
          <cell r="G1" t="str">
            <v>Балканистика</v>
          </cell>
          <cell r="H1" t="str">
            <v>Средна възраст лектори в професионално направление "Филологии"</v>
          </cell>
          <cell r="I1" t="str">
            <v>Средна възраст лектори в професионално направление "Педагогика"</v>
          </cell>
          <cell r="J1" t="str">
            <v>Български и немски</v>
          </cell>
          <cell r="K1" t="str">
            <v>Български и английски</v>
          </cell>
          <cell r="L1" t="str">
            <v>Български и испански</v>
          </cell>
          <cell r="M1" t="str">
            <v>Руски и английски</v>
          </cell>
          <cell r="N1" t="str">
            <v>Руски и немски</v>
          </cell>
          <cell r="O1" t="str">
            <v>Руски и френски</v>
          </cell>
          <cell r="P1" t="str">
            <v>Английски и френски</v>
          </cell>
          <cell r="Q1" t="str">
            <v>Български и френски</v>
          </cell>
          <cell r="R1" t="str">
            <v>Български и гръцки</v>
          </cell>
          <cell r="S1" t="str">
            <v>Български и руски</v>
          </cell>
          <cell r="T1" t="str">
            <v>Български и история</v>
          </cell>
          <cell r="U1" t="str">
            <v>Българска филология ЗО-4</v>
          </cell>
          <cell r="V1" t="str">
            <v>Руска филология ЗО-4</v>
          </cell>
          <cell r="W1" t="str">
            <v>Български и руски ЗО-4</v>
          </cell>
          <cell r="X1" t="str">
            <v>Български и история ЗО-4</v>
          </cell>
          <cell r="Y1" t="str">
            <v>Българска филология ЗО-5</v>
          </cell>
          <cell r="Z1" t="str">
            <v>Руска филология ЗО-5</v>
          </cell>
          <cell r="AA1" t="str">
            <v>Български и руски ЗО-5</v>
          </cell>
          <cell r="AB1" t="str">
            <v>Български и история ЗО-5</v>
          </cell>
        </row>
        <row r="2">
          <cell r="A2">
            <v>99560</v>
          </cell>
          <cell r="B2">
            <v>90002</v>
          </cell>
          <cell r="C2">
            <v>84002</v>
          </cell>
          <cell r="D2">
            <v>76191</v>
          </cell>
          <cell r="E2">
            <v>62488</v>
          </cell>
          <cell r="F2">
            <v>64453</v>
          </cell>
          <cell r="G2">
            <v>37249</v>
          </cell>
          <cell r="J2">
            <v>70440</v>
          </cell>
          <cell r="K2">
            <v>78165</v>
          </cell>
          <cell r="L2">
            <v>60636</v>
          </cell>
          <cell r="M2">
            <v>64496</v>
          </cell>
          <cell r="N2">
            <v>62520</v>
          </cell>
          <cell r="O2">
            <v>68402</v>
          </cell>
          <cell r="P2">
            <v>48893</v>
          </cell>
          <cell r="Q2">
            <v>72391</v>
          </cell>
          <cell r="R2">
            <v>60766</v>
          </cell>
          <cell r="S2">
            <v>78118</v>
          </cell>
          <cell r="T2">
            <v>46945</v>
          </cell>
          <cell r="U2">
            <v>72319</v>
          </cell>
          <cell r="V2">
            <v>60638</v>
          </cell>
          <cell r="W2">
            <v>76212</v>
          </cell>
          <cell r="X2">
            <v>44891</v>
          </cell>
          <cell r="Y2">
            <v>72255</v>
          </cell>
          <cell r="Z2">
            <v>56668</v>
          </cell>
          <cell r="AA2">
            <v>80085</v>
          </cell>
          <cell r="AB2">
            <v>48738</v>
          </cell>
        </row>
        <row r="3">
          <cell r="A3">
            <v>51</v>
          </cell>
          <cell r="B3">
            <v>46</v>
          </cell>
          <cell r="C3">
            <v>43</v>
          </cell>
          <cell r="D3">
            <v>39</v>
          </cell>
          <cell r="E3">
            <v>32</v>
          </cell>
          <cell r="F3">
            <v>33</v>
          </cell>
          <cell r="G3">
            <v>19</v>
          </cell>
          <cell r="J3">
            <v>36</v>
          </cell>
          <cell r="K3">
            <v>40</v>
          </cell>
          <cell r="L3">
            <v>31</v>
          </cell>
          <cell r="M3">
            <v>33</v>
          </cell>
          <cell r="N3">
            <v>32</v>
          </cell>
          <cell r="O3">
            <v>35</v>
          </cell>
          <cell r="P3">
            <v>25</v>
          </cell>
          <cell r="Q3">
            <v>37</v>
          </cell>
          <cell r="R3">
            <v>31</v>
          </cell>
          <cell r="S3">
            <v>40</v>
          </cell>
          <cell r="T3">
            <v>24</v>
          </cell>
          <cell r="U3">
            <v>37</v>
          </cell>
          <cell r="V3">
            <v>31</v>
          </cell>
          <cell r="W3">
            <v>39</v>
          </cell>
          <cell r="X3">
            <v>23</v>
          </cell>
          <cell r="Y3">
            <v>37</v>
          </cell>
          <cell r="Z3">
            <v>29</v>
          </cell>
          <cell r="AA3">
            <v>41</v>
          </cell>
          <cell r="AB3">
            <v>25</v>
          </cell>
        </row>
        <row r="4">
          <cell r="A4">
            <v>53.843137254901876</v>
          </cell>
          <cell r="B4">
            <v>49.434782608695741</v>
          </cell>
          <cell r="C4">
            <v>52.465116279069662</v>
          </cell>
          <cell r="D4">
            <v>52.384615384615472</v>
          </cell>
          <cell r="E4">
            <v>53.25</v>
          </cell>
          <cell r="F4">
            <v>52.878787878787989</v>
          </cell>
          <cell r="G4">
            <v>45.526315789473756</v>
          </cell>
          <cell r="H4">
            <v>51.397536456506359</v>
          </cell>
          <cell r="I4">
            <v>51.420235808997354</v>
          </cell>
          <cell r="J4">
            <v>49.333333333333258</v>
          </cell>
          <cell r="K4">
            <v>51.875</v>
          </cell>
          <cell r="L4">
            <v>50</v>
          </cell>
          <cell r="M4">
            <v>51.575757575757507</v>
          </cell>
          <cell r="N4">
            <v>52.25</v>
          </cell>
          <cell r="O4">
            <v>51.657142857142844</v>
          </cell>
          <cell r="P4">
            <v>50.279999999999973</v>
          </cell>
          <cell r="Q4">
            <v>49.486486486486456</v>
          </cell>
          <cell r="R4">
            <v>45.806451612903174</v>
          </cell>
          <cell r="S4">
            <v>53.049999999999955</v>
          </cell>
          <cell r="T4">
            <v>49.958333333333258</v>
          </cell>
          <cell r="U4">
            <v>51.432432432432506</v>
          </cell>
          <cell r="V4">
            <v>49.935483870967801</v>
          </cell>
          <cell r="W4">
            <v>51.846153846153811</v>
          </cell>
          <cell r="X4">
            <v>54.217391304347757</v>
          </cell>
          <cell r="Y4">
            <v>53.162162162162076</v>
          </cell>
          <cell r="Z4">
            <v>51.931034482758605</v>
          </cell>
          <cell r="AA4">
            <v>52.707317073170771</v>
          </cell>
          <cell r="AB4">
            <v>56.480000000000018</v>
          </cell>
        </row>
      </sheetData>
      <sheetData sheetId="28">
        <row r="1">
          <cell r="A1" t="str">
            <v>Българска филология</v>
          </cell>
          <cell r="B1" t="str">
            <v>Славянска филология (чешка)</v>
          </cell>
          <cell r="C1" t="str">
            <v>Славянска филология (сърбохърватска)</v>
          </cell>
          <cell r="D1" t="str">
            <v>Славянска филология (полска)</v>
          </cell>
          <cell r="E1" t="str">
            <v>Английска филология</v>
          </cell>
          <cell r="F1" t="str">
            <v>Руска филология</v>
          </cell>
          <cell r="G1" t="str">
            <v>Балканистика</v>
          </cell>
          <cell r="H1" t="str">
            <v>Средна възраст асистенти в професионално направление "Филологии"</v>
          </cell>
          <cell r="J1" t="str">
            <v>Средна възраст на асистенти в професионално направление "Педагогика"</v>
          </cell>
          <cell r="K1" t="str">
            <v>Български и английски</v>
          </cell>
          <cell r="L1" t="str">
            <v>Български и немски</v>
          </cell>
          <cell r="M1" t="str">
            <v>Български и испански</v>
          </cell>
          <cell r="N1" t="str">
            <v>Руски и английски</v>
          </cell>
          <cell r="O1" t="str">
            <v>Руски и немски</v>
          </cell>
          <cell r="P1" t="str">
            <v>Руски и френски</v>
          </cell>
          <cell r="Q1" t="str">
            <v>Английски и френски</v>
          </cell>
          <cell r="R1" t="str">
            <v>Български и френски</v>
          </cell>
          <cell r="S1" t="str">
            <v>Български и гръцки</v>
          </cell>
          <cell r="T1" t="str">
            <v>Български и руски</v>
          </cell>
          <cell r="U1" t="str">
            <v>Български и история</v>
          </cell>
          <cell r="V1" t="str">
            <v>Българска филология ЗО-4</v>
          </cell>
          <cell r="W1" t="str">
            <v>Руска филология ЗО-4</v>
          </cell>
          <cell r="X1" t="str">
            <v>Български и руски ЗО-4</v>
          </cell>
          <cell r="Y1" t="str">
            <v>Български и история ЗО-4</v>
          </cell>
          <cell r="Z1" t="str">
            <v>Българска филология ЗО-5</v>
          </cell>
          <cell r="AA1" t="str">
            <v>Руска филология ЗО-5</v>
          </cell>
          <cell r="AB1" t="str">
            <v>Български и руски ЗО-5</v>
          </cell>
          <cell r="AC1" t="str">
            <v>Български и история ЗО-5</v>
          </cell>
        </row>
        <row r="2">
          <cell r="A2">
            <v>29429</v>
          </cell>
          <cell r="B2">
            <v>25521</v>
          </cell>
          <cell r="C2">
            <v>29443</v>
          </cell>
          <cell r="D2">
            <v>23534</v>
          </cell>
          <cell r="E2">
            <v>29360</v>
          </cell>
          <cell r="F2">
            <v>35255</v>
          </cell>
          <cell r="G2">
            <v>27541</v>
          </cell>
          <cell r="K2">
            <v>46988</v>
          </cell>
          <cell r="L2">
            <v>37270</v>
          </cell>
          <cell r="M2">
            <v>41142</v>
          </cell>
          <cell r="N2">
            <v>39118</v>
          </cell>
          <cell r="O2">
            <v>33282</v>
          </cell>
          <cell r="P2">
            <v>27405</v>
          </cell>
          <cell r="Q2">
            <v>48893</v>
          </cell>
          <cell r="R2">
            <v>31329</v>
          </cell>
          <cell r="S2">
            <v>39340</v>
          </cell>
          <cell r="T2">
            <v>43126</v>
          </cell>
          <cell r="U2">
            <v>25484</v>
          </cell>
          <cell r="V2">
            <v>43120</v>
          </cell>
          <cell r="W2">
            <v>60638</v>
          </cell>
          <cell r="X2">
            <v>41094</v>
          </cell>
          <cell r="Y2">
            <v>27428</v>
          </cell>
          <cell r="Z2">
            <v>33318</v>
          </cell>
          <cell r="AA2">
            <v>33271</v>
          </cell>
          <cell r="AB2">
            <v>35255</v>
          </cell>
          <cell r="AC2">
            <v>23531</v>
          </cell>
        </row>
        <row r="3">
          <cell r="A3">
            <v>15</v>
          </cell>
          <cell r="B3">
            <v>13</v>
          </cell>
          <cell r="C3">
            <v>15</v>
          </cell>
          <cell r="D3">
            <v>12</v>
          </cell>
          <cell r="E3">
            <v>15</v>
          </cell>
          <cell r="F3">
            <v>18</v>
          </cell>
          <cell r="G3">
            <v>14</v>
          </cell>
          <cell r="K3">
            <v>24</v>
          </cell>
          <cell r="L3">
            <v>19</v>
          </cell>
          <cell r="M3">
            <v>21</v>
          </cell>
          <cell r="N3">
            <v>20</v>
          </cell>
          <cell r="O3">
            <v>17</v>
          </cell>
          <cell r="P3">
            <v>14</v>
          </cell>
          <cell r="Q3">
            <v>25</v>
          </cell>
          <cell r="R3">
            <v>16</v>
          </cell>
          <cell r="S3">
            <v>20</v>
          </cell>
          <cell r="T3">
            <v>22</v>
          </cell>
          <cell r="U3">
            <v>13</v>
          </cell>
          <cell r="V3">
            <v>22</v>
          </cell>
          <cell r="W3">
            <v>31</v>
          </cell>
          <cell r="X3">
            <v>21</v>
          </cell>
          <cell r="Y3">
            <v>14</v>
          </cell>
          <cell r="Z3">
            <v>17</v>
          </cell>
          <cell r="AA3">
            <v>17</v>
          </cell>
          <cell r="AB3">
            <v>18</v>
          </cell>
          <cell r="AC3">
            <v>12</v>
          </cell>
        </row>
        <row r="4">
          <cell r="A4">
            <v>44.066666666666606</v>
          </cell>
          <cell r="B4">
            <v>42.846153846153811</v>
          </cell>
          <cell r="C4">
            <v>43.133333333333439</v>
          </cell>
          <cell r="D4">
            <v>44.833333333333258</v>
          </cell>
          <cell r="E4">
            <v>48.666666666666742</v>
          </cell>
          <cell r="F4">
            <v>47.388888888888914</v>
          </cell>
          <cell r="G4">
            <v>38.785714285714221</v>
          </cell>
          <cell r="H4">
            <v>44.245822431536716</v>
          </cell>
          <cell r="J4">
            <v>47.069733830831886</v>
          </cell>
          <cell r="K4">
            <v>48.166666666666742</v>
          </cell>
          <cell r="L4">
            <v>44.421052631578959</v>
          </cell>
          <cell r="M4">
            <v>46.85714285714289</v>
          </cell>
          <cell r="N4">
            <v>50.099999999999909</v>
          </cell>
          <cell r="O4">
            <v>48.235294117647072</v>
          </cell>
          <cell r="P4">
            <v>48.5</v>
          </cell>
          <cell r="Q4">
            <v>50.279999999999973</v>
          </cell>
          <cell r="R4">
            <v>47.9375</v>
          </cell>
          <cell r="S4">
            <v>39</v>
          </cell>
          <cell r="T4">
            <v>45.727272727272748</v>
          </cell>
          <cell r="U4">
            <v>45.692307692307622</v>
          </cell>
          <cell r="V4">
            <v>46</v>
          </cell>
          <cell r="W4">
            <v>49.935483870967801</v>
          </cell>
          <cell r="X4">
            <v>49.14285714285711</v>
          </cell>
          <cell r="Y4">
            <v>46.85714285714289</v>
          </cell>
          <cell r="Z4">
            <v>46.117647058823422</v>
          </cell>
          <cell r="AA4">
            <v>48.882352941176578</v>
          </cell>
          <cell r="AB4">
            <v>47.388888888888914</v>
          </cell>
          <cell r="AC4">
            <v>45.083333333333258</v>
          </cell>
        </row>
      </sheetData>
      <sheetData sheetId="29" refreshError="1"/>
      <sheetData sheetId="30"/>
      <sheetData sheetId="31" refreshError="1"/>
      <sheetData sheetId="32" refreshError="1"/>
      <sheetData sheetId="33" refreshError="1"/>
      <sheetData sheetId="34">
        <row r="34">
          <cell r="A34" t="str">
            <v>LECОТДNEHABNODR</v>
          </cell>
          <cell r="B34" t="str">
            <v>Лекционен курс. (ОТД). Нехабилитиран(а). Без степен</v>
          </cell>
          <cell r="C34">
            <v>1</v>
          </cell>
          <cell r="D34" t="str">
            <v>LONN</v>
          </cell>
        </row>
        <row r="35">
          <cell r="A35" t="str">
            <v>LECОТДNEHABDR</v>
          </cell>
          <cell r="B35" t="str">
            <v>Лекционен курс. (ОТД). Нехабилитиран(а). Доктор</v>
          </cell>
          <cell r="C35">
            <v>2</v>
          </cell>
          <cell r="D35" t="str">
            <v>LOND</v>
          </cell>
        </row>
        <row r="36">
          <cell r="A36" t="str">
            <v>LECОТДHABNODR</v>
          </cell>
          <cell r="B36" t="str">
            <v>Лекционен курс. (ОТД). Хабилитиран(а). Без степен</v>
          </cell>
          <cell r="C36">
            <v>3</v>
          </cell>
          <cell r="D36" t="str">
            <v>LOHN</v>
          </cell>
        </row>
        <row r="37">
          <cell r="A37" t="str">
            <v>LECОТДHABDR</v>
          </cell>
          <cell r="B37" t="str">
            <v>Лекционен курс. (ОТД). Хабилитиран(а). Доктор</v>
          </cell>
          <cell r="C37">
            <v>4</v>
          </cell>
          <cell r="D37" t="str">
            <v>LOHD</v>
          </cell>
        </row>
        <row r="38">
          <cell r="A38" t="str">
            <v>LECХОНNEHABNODR</v>
          </cell>
          <cell r="B38" t="str">
            <v>Лекционен курс. Хоноруван. Нехабилитиран преподавател. Без степен</v>
          </cell>
          <cell r="C38">
            <v>5</v>
          </cell>
          <cell r="D38" t="str">
            <v>LHNN</v>
          </cell>
        </row>
        <row r="39">
          <cell r="A39" t="str">
            <v>LECХОНNEHABDR</v>
          </cell>
          <cell r="B39" t="str">
            <v>Лекционен курс. Хоноруван. Нехабилитиран преподавател. Доктор</v>
          </cell>
          <cell r="C39">
            <v>6</v>
          </cell>
          <cell r="D39" t="str">
            <v>LHND</v>
          </cell>
        </row>
        <row r="40">
          <cell r="A40" t="str">
            <v>LECХОНHABNODR</v>
          </cell>
          <cell r="B40" t="str">
            <v>Лекционен курс. Хоноруван. Хабилитиран преподавател. Без степен</v>
          </cell>
          <cell r="C40">
            <v>7</v>
          </cell>
          <cell r="D40" t="str">
            <v>LHHN</v>
          </cell>
        </row>
        <row r="41">
          <cell r="A41" t="str">
            <v>LECХОНHABDR</v>
          </cell>
          <cell r="B41" t="str">
            <v>Лекционен курс. Хоноруван. Хабилитиран преподавател. Доктор</v>
          </cell>
          <cell r="C41">
            <v>8</v>
          </cell>
          <cell r="D41" t="str">
            <v>LHHD</v>
          </cell>
        </row>
        <row r="42">
          <cell r="A42" t="str">
            <v>PRОТДNEHABNODR</v>
          </cell>
          <cell r="B42" t="str">
            <v>Практически курс. (ОТД). Нехабилитиран(а). Без степен</v>
          </cell>
          <cell r="C42">
            <v>9</v>
          </cell>
          <cell r="D42" t="str">
            <v>PONN</v>
          </cell>
        </row>
        <row r="43">
          <cell r="A43" t="str">
            <v>PRОТДNEHABDR</v>
          </cell>
          <cell r="B43" t="str">
            <v>Практически курс. (ОТД). Нехабилитиран(а). Доктор</v>
          </cell>
          <cell r="C43">
            <v>10</v>
          </cell>
          <cell r="D43" t="str">
            <v>POND</v>
          </cell>
        </row>
        <row r="44">
          <cell r="A44" t="str">
            <v>PRОТДHABNODR</v>
          </cell>
          <cell r="B44" t="str">
            <v>Практически курс. (ОТД). Хабилитиран(а). Без степен</v>
          </cell>
          <cell r="C44">
            <v>11</v>
          </cell>
          <cell r="D44" t="str">
            <v>POHN</v>
          </cell>
        </row>
        <row r="45">
          <cell r="A45" t="str">
            <v>PRОТДHABDR</v>
          </cell>
          <cell r="B45" t="str">
            <v>Практически курс. (ОТД). Хабилитиран(а). Доктор</v>
          </cell>
          <cell r="C45">
            <v>12</v>
          </cell>
          <cell r="D45" t="str">
            <v>POND</v>
          </cell>
        </row>
        <row r="46">
          <cell r="A46" t="str">
            <v>PRХОНNEHABNODR</v>
          </cell>
          <cell r="B46" t="str">
            <v>Практически курс. Хоноруван. Нехабилитиран преподавател. Без степен</v>
          </cell>
          <cell r="C46">
            <v>13</v>
          </cell>
          <cell r="D46" t="str">
            <v>PHNN</v>
          </cell>
        </row>
        <row r="47">
          <cell r="A47" t="str">
            <v>PRХОНNEHABDR</v>
          </cell>
          <cell r="B47" t="str">
            <v>Практически курс. Хоноруван. Нехабилитиран преподавател. Доктор</v>
          </cell>
          <cell r="C47">
            <v>14</v>
          </cell>
          <cell r="D47" t="str">
            <v>PHND</v>
          </cell>
        </row>
        <row r="48">
          <cell r="A48" t="str">
            <v>PRХОНHABNODR</v>
          </cell>
          <cell r="B48" t="str">
            <v>Практически курс. Хоноруван. Хабилитиран преподавател. Без степен</v>
          </cell>
          <cell r="C48">
            <v>15</v>
          </cell>
          <cell r="D48" t="str">
            <v>PHHN</v>
          </cell>
        </row>
        <row r="49">
          <cell r="A49" t="str">
            <v>PRХОНHABDR</v>
          </cell>
          <cell r="B49" t="str">
            <v>Практически курс. Хоноруван. Хабилитиран преподавател. Доктор</v>
          </cell>
          <cell r="C49">
            <v>16</v>
          </cell>
          <cell r="D49" t="str">
            <v>PHHD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_ZONOLAST"/>
      <sheetName val="RF_ZONOLAST"/>
      <sheetName val="BERE_ZONOLAST"/>
      <sheetName val="BEI_ZONOLAST"/>
    </sheetNames>
    <sheetDataSet>
      <sheetData sheetId="0">
        <row r="82">
          <cell r="B82">
            <v>0.5</v>
          </cell>
        </row>
        <row r="83">
          <cell r="B83">
            <v>15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ъстав"/>
      <sheetName val="Възрастова структура"/>
      <sheetName val="Възраст"/>
      <sheetName val="Професори"/>
      <sheetName val="Доценти"/>
      <sheetName val="Главни асистенти с докторска"/>
      <sheetName val="Асистенти с докторска"/>
      <sheetName val="Главни асистенти без докторска"/>
      <sheetName val="Асистенти без докторска"/>
    </sheetNames>
    <sheetDataSet>
      <sheetData sheetId="0"/>
      <sheetData sheetId="1"/>
      <sheetData sheetId="2">
        <row r="1">
          <cell r="D1">
            <v>2011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личен състав данни"/>
      <sheetName val="2008 личен състав данни"/>
      <sheetName val="2009 личен състав данни"/>
      <sheetName val="1.1.1 - 1.1.10 Ж.Иванов"/>
      <sheetName val="Sheet1"/>
    </sheetNames>
    <sheetDataSet>
      <sheetData sheetId="0">
        <row r="1">
          <cell r="P1">
            <v>2007</v>
          </cell>
        </row>
      </sheetData>
      <sheetData sheetId="1">
        <row r="1">
          <cell r="P1">
            <v>2008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подаватели"/>
      <sheetName val="2012 личен състав ОТД"/>
      <sheetName val="2012 личен състав ХОН"/>
      <sheetName val="Съотношения"/>
      <sheetName val="Възрастова структура"/>
    </sheetNames>
    <sheetDataSet>
      <sheetData sheetId="0"/>
      <sheetData sheetId="1">
        <row r="1">
          <cell r="C1">
            <v>50.496124031007753</v>
          </cell>
          <cell r="D1">
            <v>4</v>
          </cell>
          <cell r="O1" t="str">
            <v>година3</v>
          </cell>
          <cell r="P1">
            <v>2012</v>
          </cell>
        </row>
        <row r="2">
          <cell r="C2" t="str">
            <v>рубрика</v>
          </cell>
          <cell r="D2" t="str">
            <v>степен</v>
          </cell>
          <cell r="O2" t="str">
            <v>ГОДИНИ</v>
          </cell>
        </row>
        <row r="3">
          <cell r="C3" t="str">
            <v>секретар</v>
          </cell>
          <cell r="D3"/>
          <cell r="O3">
            <v>30</v>
          </cell>
        </row>
        <row r="4">
          <cell r="C4" t="str">
            <v>системен администратор</v>
          </cell>
          <cell r="D4"/>
          <cell r="O4">
            <v>43</v>
          </cell>
        </row>
        <row r="5">
          <cell r="C5" t="str">
            <v>доц.</v>
          </cell>
          <cell r="D5" t="str">
            <v>д-р</v>
          </cell>
          <cell r="O5">
            <v>63</v>
          </cell>
        </row>
        <row r="6">
          <cell r="C6" t="str">
            <v>доц.</v>
          </cell>
          <cell r="D6" t="str">
            <v>д-р</v>
          </cell>
          <cell r="O6">
            <v>53</v>
          </cell>
        </row>
        <row r="7">
          <cell r="C7" t="str">
            <v>проф.</v>
          </cell>
          <cell r="D7" t="str">
            <v>дфн</v>
          </cell>
          <cell r="O7">
            <v>48</v>
          </cell>
        </row>
        <row r="8">
          <cell r="C8" t="str">
            <v>проф.</v>
          </cell>
          <cell r="D8" t="str">
            <v>д-р</v>
          </cell>
          <cell r="O8">
            <v>53</v>
          </cell>
        </row>
        <row r="9">
          <cell r="C9" t="str">
            <v>доц.</v>
          </cell>
          <cell r="D9" t="str">
            <v>д-р</v>
          </cell>
          <cell r="O9">
            <v>62</v>
          </cell>
        </row>
        <row r="10">
          <cell r="C10" t="str">
            <v>доц.</v>
          </cell>
          <cell r="D10" t="str">
            <v>дфн</v>
          </cell>
          <cell r="O10">
            <v>51</v>
          </cell>
        </row>
        <row r="11">
          <cell r="C11" t="str">
            <v>доц.</v>
          </cell>
          <cell r="D11" t="str">
            <v>д-р</v>
          </cell>
          <cell r="O11">
            <v>65</v>
          </cell>
        </row>
        <row r="12">
          <cell r="C12" t="str">
            <v>гл. ас.</v>
          </cell>
          <cell r="D12" t="str">
            <v>д-р</v>
          </cell>
          <cell r="O12">
            <v>45</v>
          </cell>
        </row>
        <row r="13">
          <cell r="C13" t="str">
            <v>ас.</v>
          </cell>
          <cell r="D13"/>
          <cell r="O13">
            <v>51</v>
          </cell>
        </row>
        <row r="14">
          <cell r="C14" t="str">
            <v>гл. ас.</v>
          </cell>
          <cell r="D14"/>
          <cell r="O14">
            <v>60</v>
          </cell>
        </row>
        <row r="15">
          <cell r="C15" t="str">
            <v>доц.</v>
          </cell>
          <cell r="D15" t="str">
            <v>д-р</v>
          </cell>
          <cell r="O15">
            <v>60</v>
          </cell>
        </row>
        <row r="16">
          <cell r="C16" t="str">
            <v>гл. ас.</v>
          </cell>
          <cell r="D16"/>
          <cell r="O16">
            <v>48</v>
          </cell>
        </row>
        <row r="17">
          <cell r="C17" t="str">
            <v>секретар</v>
          </cell>
          <cell r="D17"/>
          <cell r="O17">
            <v>34</v>
          </cell>
        </row>
        <row r="18">
          <cell r="C18" t="str">
            <v>доц.</v>
          </cell>
          <cell r="D18" t="str">
            <v>дфн</v>
          </cell>
          <cell r="O18">
            <v>58</v>
          </cell>
        </row>
        <row r="19">
          <cell r="C19" t="str">
            <v>проф.</v>
          </cell>
          <cell r="D19" t="str">
            <v>дфн</v>
          </cell>
          <cell r="O19">
            <v>70</v>
          </cell>
        </row>
        <row r="20">
          <cell r="C20" t="str">
            <v>проф.</v>
          </cell>
          <cell r="D20" t="str">
            <v>дфн</v>
          </cell>
          <cell r="O20">
            <v>62</v>
          </cell>
        </row>
        <row r="21">
          <cell r="C21" t="str">
            <v>проф.</v>
          </cell>
          <cell r="D21" t="str">
            <v>д-р</v>
          </cell>
          <cell r="O21">
            <v>81</v>
          </cell>
        </row>
        <row r="22">
          <cell r="C22" t="str">
            <v>доц.</v>
          </cell>
          <cell r="D22" t="str">
            <v>д-р</v>
          </cell>
          <cell r="O22">
            <v>56</v>
          </cell>
        </row>
        <row r="23">
          <cell r="C23" t="str">
            <v>доц.</v>
          </cell>
          <cell r="D23" t="str">
            <v>д-р</v>
          </cell>
          <cell r="O23">
            <v>53</v>
          </cell>
        </row>
        <row r="24">
          <cell r="C24" t="str">
            <v>гл. ас.</v>
          </cell>
          <cell r="D24" t="str">
            <v>д-р</v>
          </cell>
          <cell r="O24">
            <v>54</v>
          </cell>
        </row>
        <row r="25">
          <cell r="C25" t="str">
            <v>гл. ас.</v>
          </cell>
          <cell r="D25"/>
          <cell r="O25">
            <v>56</v>
          </cell>
        </row>
        <row r="26">
          <cell r="C26" t="str">
            <v>гл. ас.</v>
          </cell>
          <cell r="D26"/>
          <cell r="O26">
            <v>50</v>
          </cell>
        </row>
        <row r="27">
          <cell r="C27" t="str">
            <v>гл. ас.</v>
          </cell>
          <cell r="D27"/>
          <cell r="O27">
            <v>51</v>
          </cell>
        </row>
        <row r="28">
          <cell r="C28" t="str">
            <v>гл. ас.</v>
          </cell>
          <cell r="D28"/>
          <cell r="O28">
            <v>50</v>
          </cell>
        </row>
        <row r="29">
          <cell r="C29" t="str">
            <v>доц.</v>
          </cell>
          <cell r="D29" t="str">
            <v>д-р</v>
          </cell>
          <cell r="O29">
            <v>47</v>
          </cell>
        </row>
        <row r="30">
          <cell r="C30" t="str">
            <v>гл. ас.</v>
          </cell>
          <cell r="D30" t="str">
            <v>д-р</v>
          </cell>
          <cell r="O30">
            <v>49</v>
          </cell>
        </row>
        <row r="31">
          <cell r="C31" t="str">
            <v>доц.</v>
          </cell>
          <cell r="D31" t="str">
            <v>д-р</v>
          </cell>
          <cell r="O31">
            <v>44</v>
          </cell>
        </row>
        <row r="32">
          <cell r="C32" t="str">
            <v>филолог-специалист</v>
          </cell>
          <cell r="D32"/>
          <cell r="O32">
            <v>49</v>
          </cell>
        </row>
        <row r="33">
          <cell r="C33" t="str">
            <v>проф.</v>
          </cell>
          <cell r="D33" t="str">
            <v>д-р</v>
          </cell>
          <cell r="O33">
            <v>67</v>
          </cell>
        </row>
        <row r="34">
          <cell r="C34" t="str">
            <v>доц.</v>
          </cell>
          <cell r="D34" t="str">
            <v>д-р</v>
          </cell>
          <cell r="O34">
            <v>53</v>
          </cell>
        </row>
        <row r="35">
          <cell r="C35" t="str">
            <v>доц.</v>
          </cell>
          <cell r="D35" t="str">
            <v>д-р</v>
          </cell>
          <cell r="O35">
            <v>50</v>
          </cell>
        </row>
        <row r="36">
          <cell r="C36" t="str">
            <v>гл. ас.</v>
          </cell>
          <cell r="D36" t="str">
            <v>д-р</v>
          </cell>
          <cell r="O36">
            <v>48</v>
          </cell>
        </row>
        <row r="37">
          <cell r="C37" t="str">
            <v>гл. ас.</v>
          </cell>
          <cell r="D37" t="str">
            <v>д-р</v>
          </cell>
          <cell r="O37">
            <v>53</v>
          </cell>
        </row>
        <row r="38">
          <cell r="C38" t="str">
            <v>гл. ас.</v>
          </cell>
          <cell r="D38" t="str">
            <v>д-р</v>
          </cell>
          <cell r="O38">
            <v>51</v>
          </cell>
        </row>
        <row r="39">
          <cell r="C39" t="str">
            <v>гл. ас.</v>
          </cell>
          <cell r="D39" t="str">
            <v>д-р</v>
          </cell>
          <cell r="O39">
            <v>43</v>
          </cell>
        </row>
        <row r="40">
          <cell r="C40" t="str">
            <v>гл. ас.</v>
          </cell>
          <cell r="D40" t="str">
            <v>д-р</v>
          </cell>
          <cell r="O40">
            <v>37</v>
          </cell>
        </row>
        <row r="41">
          <cell r="C41" t="str">
            <v>гл. ас.</v>
          </cell>
          <cell r="D41" t="str">
            <v>д-р</v>
          </cell>
          <cell r="O41">
            <v>51</v>
          </cell>
        </row>
        <row r="42">
          <cell r="C42" t="str">
            <v>гл. ас.</v>
          </cell>
          <cell r="D42" t="str">
            <v>д-р</v>
          </cell>
          <cell r="O42">
            <v>51</v>
          </cell>
        </row>
        <row r="43">
          <cell r="C43" t="str">
            <v>гл. ас.</v>
          </cell>
          <cell r="D43"/>
          <cell r="O43">
            <v>57</v>
          </cell>
        </row>
        <row r="44">
          <cell r="C44" t="str">
            <v>гл. ас.</v>
          </cell>
          <cell r="D44"/>
          <cell r="O44">
            <v>54</v>
          </cell>
        </row>
        <row r="45">
          <cell r="C45" t="str">
            <v>гл. ас.</v>
          </cell>
          <cell r="D45"/>
          <cell r="O45">
            <v>55</v>
          </cell>
        </row>
        <row r="46">
          <cell r="C46" t="str">
            <v>гл. ас.</v>
          </cell>
          <cell r="D46" t="str">
            <v>д-р</v>
          </cell>
          <cell r="O46">
            <v>49</v>
          </cell>
        </row>
        <row r="47">
          <cell r="C47" t="str">
            <v>гл. ас.</v>
          </cell>
          <cell r="D47" t="str">
            <v>д-р</v>
          </cell>
          <cell r="O47">
            <v>59</v>
          </cell>
        </row>
        <row r="48">
          <cell r="C48" t="str">
            <v>гл. ас.</v>
          </cell>
          <cell r="D48"/>
          <cell r="O48">
            <v>57</v>
          </cell>
        </row>
        <row r="49">
          <cell r="C49" t="str">
            <v>филолог-специалист</v>
          </cell>
          <cell r="D49"/>
          <cell r="O49">
            <v>52</v>
          </cell>
        </row>
        <row r="50">
          <cell r="C50" t="str">
            <v>проф.</v>
          </cell>
          <cell r="D50" t="str">
            <v>д-р</v>
          </cell>
          <cell r="O50">
            <v>66</v>
          </cell>
        </row>
        <row r="51">
          <cell r="C51" t="str">
            <v>доц.</v>
          </cell>
          <cell r="D51" t="str">
            <v>д-р</v>
          </cell>
          <cell r="O51">
            <v>63</v>
          </cell>
        </row>
        <row r="52">
          <cell r="C52" t="str">
            <v>доц.</v>
          </cell>
          <cell r="D52" t="str">
            <v>д-р</v>
          </cell>
          <cell r="O52">
            <v>53</v>
          </cell>
        </row>
        <row r="53">
          <cell r="C53" t="str">
            <v>доц.</v>
          </cell>
          <cell r="D53" t="str">
            <v>д-р</v>
          </cell>
          <cell r="O53">
            <v>44</v>
          </cell>
        </row>
        <row r="54">
          <cell r="C54" t="str">
            <v>гл. ас.</v>
          </cell>
          <cell r="D54"/>
          <cell r="O54">
            <v>53</v>
          </cell>
        </row>
        <row r="55">
          <cell r="C55" t="str">
            <v>гл. ас.</v>
          </cell>
          <cell r="D55"/>
          <cell r="O55">
            <v>57</v>
          </cell>
        </row>
        <row r="56">
          <cell r="C56" t="str">
            <v>гл. ас.</v>
          </cell>
          <cell r="D56"/>
          <cell r="O56">
            <v>45</v>
          </cell>
        </row>
        <row r="57">
          <cell r="C57" t="str">
            <v>гл. ас.</v>
          </cell>
          <cell r="D57"/>
          <cell r="O57">
            <v>34</v>
          </cell>
        </row>
        <row r="58">
          <cell r="C58" t="str">
            <v>гл. ас.</v>
          </cell>
          <cell r="D58"/>
          <cell r="O58">
            <v>39</v>
          </cell>
        </row>
        <row r="59">
          <cell r="C59" t="str">
            <v>ас.</v>
          </cell>
          <cell r="D59"/>
          <cell r="O59">
            <v>28</v>
          </cell>
        </row>
        <row r="60">
          <cell r="C60" t="str">
            <v>ас.</v>
          </cell>
          <cell r="D60"/>
          <cell r="O60">
            <v>30</v>
          </cell>
        </row>
        <row r="61">
          <cell r="C61" t="str">
            <v>ас.</v>
          </cell>
          <cell r="D61"/>
          <cell r="O61">
            <v>40</v>
          </cell>
        </row>
        <row r="62">
          <cell r="C62" t="str">
            <v>гл. ас.</v>
          </cell>
          <cell r="D62" t="str">
            <v>д-р</v>
          </cell>
          <cell r="O62">
            <v>43</v>
          </cell>
        </row>
        <row r="63">
          <cell r="C63" t="str">
            <v>гл. ас.</v>
          </cell>
          <cell r="D63" t="str">
            <v>д-р</v>
          </cell>
          <cell r="O63">
            <v>33</v>
          </cell>
        </row>
        <row r="64">
          <cell r="C64" t="str">
            <v>филолог-специалист</v>
          </cell>
          <cell r="D64"/>
          <cell r="O64">
            <v>52</v>
          </cell>
        </row>
        <row r="65">
          <cell r="C65" t="str">
            <v>филолог-специалист</v>
          </cell>
          <cell r="D65"/>
          <cell r="O65">
            <v>62</v>
          </cell>
        </row>
        <row r="66">
          <cell r="C66" t="str">
            <v>доц.</v>
          </cell>
          <cell r="D66" t="str">
            <v>д-р</v>
          </cell>
          <cell r="O66">
            <v>53</v>
          </cell>
        </row>
        <row r="67">
          <cell r="C67" t="str">
            <v>проф.</v>
          </cell>
          <cell r="D67" t="str">
            <v>дфн</v>
          </cell>
          <cell r="O67">
            <v>67</v>
          </cell>
        </row>
        <row r="68">
          <cell r="C68" t="str">
            <v>доц.</v>
          </cell>
          <cell r="D68" t="str">
            <v>д-р</v>
          </cell>
          <cell r="O68">
            <v>56</v>
          </cell>
        </row>
        <row r="69">
          <cell r="C69" t="str">
            <v>проф.</v>
          </cell>
          <cell r="D69" t="str">
            <v>дфн</v>
          </cell>
          <cell r="O69">
            <v>68</v>
          </cell>
        </row>
        <row r="70">
          <cell r="C70" t="str">
            <v>доц.</v>
          </cell>
          <cell r="D70" t="str">
            <v>д-р</v>
          </cell>
          <cell r="O70">
            <v>66</v>
          </cell>
        </row>
        <row r="71">
          <cell r="C71" t="str">
            <v>гл. ас.</v>
          </cell>
          <cell r="D71" t="str">
            <v>д-р</v>
          </cell>
          <cell r="O71">
            <v>49</v>
          </cell>
        </row>
        <row r="72">
          <cell r="C72" t="str">
            <v>гл. ас.</v>
          </cell>
          <cell r="D72" t="str">
            <v>д-р</v>
          </cell>
          <cell r="O72">
            <v>33</v>
          </cell>
        </row>
        <row r="73">
          <cell r="C73" t="str">
            <v>гл. ас.</v>
          </cell>
          <cell r="D73"/>
          <cell r="O73">
            <v>45</v>
          </cell>
        </row>
        <row r="74">
          <cell r="C74" t="str">
            <v>гл. ас.</v>
          </cell>
          <cell r="D74"/>
          <cell r="O74">
            <v>50</v>
          </cell>
        </row>
        <row r="75">
          <cell r="C75" t="str">
            <v>гл. ас.</v>
          </cell>
          <cell r="D75"/>
          <cell r="O75">
            <v>49</v>
          </cell>
        </row>
        <row r="76">
          <cell r="C76" t="str">
            <v>гл. ас.</v>
          </cell>
          <cell r="D76"/>
          <cell r="O76">
            <v>60</v>
          </cell>
        </row>
        <row r="77">
          <cell r="C77" t="str">
            <v>гл. ас.</v>
          </cell>
          <cell r="D77" t="str">
            <v>д-р</v>
          </cell>
          <cell r="O77">
            <v>36</v>
          </cell>
        </row>
        <row r="78">
          <cell r="C78" t="str">
            <v>гл. ас.</v>
          </cell>
          <cell r="D78" t="str">
            <v>д-р</v>
          </cell>
          <cell r="O78">
            <v>44</v>
          </cell>
        </row>
        <row r="79">
          <cell r="C79" t="str">
            <v>гл. ас.</v>
          </cell>
          <cell r="D79"/>
          <cell r="O79">
            <v>50</v>
          </cell>
        </row>
        <row r="80">
          <cell r="C80" t="str">
            <v>ас.</v>
          </cell>
          <cell r="D80"/>
          <cell r="O80">
            <v>30</v>
          </cell>
        </row>
        <row r="81">
          <cell r="C81" t="str">
            <v>ас.</v>
          </cell>
          <cell r="D81"/>
          <cell r="O81">
            <v>28</v>
          </cell>
        </row>
        <row r="82">
          <cell r="C82" t="str">
            <v>ас.</v>
          </cell>
          <cell r="D82"/>
          <cell r="O82">
            <v>45</v>
          </cell>
        </row>
        <row r="83">
          <cell r="C83" t="str">
            <v>секретар</v>
          </cell>
          <cell r="D83"/>
          <cell r="O83">
            <v>56</v>
          </cell>
        </row>
        <row r="84">
          <cell r="C84" t="str">
            <v>доц.</v>
          </cell>
          <cell r="D84" t="str">
            <v>д-р</v>
          </cell>
          <cell r="O84">
            <v>65</v>
          </cell>
        </row>
        <row r="85">
          <cell r="C85" t="str">
            <v>доц.</v>
          </cell>
          <cell r="D85" t="str">
            <v>д-р</v>
          </cell>
          <cell r="O85">
            <v>66</v>
          </cell>
        </row>
        <row r="86">
          <cell r="C86" t="str">
            <v>гл. ас.</v>
          </cell>
          <cell r="D86"/>
          <cell r="O86">
            <v>48</v>
          </cell>
        </row>
        <row r="87">
          <cell r="C87" t="str">
            <v>гл. ас.</v>
          </cell>
          <cell r="D87"/>
          <cell r="O87">
            <v>62</v>
          </cell>
        </row>
        <row r="88">
          <cell r="C88" t="str">
            <v>гл. ас.</v>
          </cell>
          <cell r="D88" t="str">
            <v>д-р</v>
          </cell>
          <cell r="O88">
            <v>52</v>
          </cell>
        </row>
        <row r="89">
          <cell r="C89" t="str">
            <v>гл. ас.</v>
          </cell>
          <cell r="D89"/>
          <cell r="O89">
            <v>50</v>
          </cell>
        </row>
        <row r="90">
          <cell r="C90" t="str">
            <v>доц.</v>
          </cell>
          <cell r="D90" t="str">
            <v>д-р</v>
          </cell>
          <cell r="O90">
            <v>64</v>
          </cell>
        </row>
        <row r="91">
          <cell r="C91" t="str">
            <v>гл. ас.</v>
          </cell>
          <cell r="D91" t="str">
            <v>д-р</v>
          </cell>
          <cell r="O91">
            <v>46</v>
          </cell>
        </row>
        <row r="92">
          <cell r="C92" t="str">
            <v>гл. ас.</v>
          </cell>
          <cell r="D92" t="str">
            <v>д-р</v>
          </cell>
          <cell r="O92">
            <v>38</v>
          </cell>
        </row>
        <row r="93">
          <cell r="C93" t="str">
            <v>гл. ас.</v>
          </cell>
          <cell r="D93" t="str">
            <v>д-р</v>
          </cell>
          <cell r="O93">
            <v>42</v>
          </cell>
        </row>
        <row r="94">
          <cell r="C94" t="str">
            <v>гл. ас.</v>
          </cell>
          <cell r="D94" t="str">
            <v>д-р</v>
          </cell>
          <cell r="O94">
            <v>54</v>
          </cell>
        </row>
        <row r="95">
          <cell r="C95" t="str">
            <v>гл. ас.</v>
          </cell>
          <cell r="D95"/>
          <cell r="O95">
            <v>56</v>
          </cell>
        </row>
        <row r="96">
          <cell r="C96" t="str">
            <v>гл. ас.</v>
          </cell>
          <cell r="D96"/>
          <cell r="O96">
            <v>42</v>
          </cell>
        </row>
        <row r="97">
          <cell r="C97" t="str">
            <v>гл. ас.</v>
          </cell>
          <cell r="D97"/>
          <cell r="O97">
            <v>50</v>
          </cell>
        </row>
        <row r="98">
          <cell r="C98" t="str">
            <v>гл. ас.</v>
          </cell>
          <cell r="D98"/>
          <cell r="O98">
            <v>66</v>
          </cell>
        </row>
        <row r="99">
          <cell r="C99" t="str">
            <v>ас.</v>
          </cell>
          <cell r="D99"/>
          <cell r="O99">
            <v>40</v>
          </cell>
        </row>
        <row r="100">
          <cell r="C100" t="str">
            <v>ас.</v>
          </cell>
          <cell r="D100"/>
          <cell r="O100">
            <v>49</v>
          </cell>
        </row>
        <row r="101">
          <cell r="C101" t="str">
            <v>ас.</v>
          </cell>
          <cell r="D101"/>
          <cell r="O101">
            <v>57</v>
          </cell>
        </row>
        <row r="102">
          <cell r="C102" t="str">
            <v>гл. ас.</v>
          </cell>
          <cell r="D102" t="str">
            <v>д-р</v>
          </cell>
          <cell r="O102">
            <v>35</v>
          </cell>
        </row>
        <row r="103">
          <cell r="C103" t="str">
            <v>гл. ас.</v>
          </cell>
          <cell r="D103" t="str">
            <v>д-р</v>
          </cell>
          <cell r="O103">
            <v>35</v>
          </cell>
        </row>
        <row r="104">
          <cell r="C104" t="str">
            <v>секретар</v>
          </cell>
          <cell r="D104"/>
          <cell r="O104">
            <v>52</v>
          </cell>
        </row>
        <row r="105">
          <cell r="C105" t="str">
            <v>гл. ас.</v>
          </cell>
          <cell r="D105"/>
          <cell r="O105">
            <v>52</v>
          </cell>
        </row>
        <row r="106">
          <cell r="C106" t="str">
            <v>гл. ас.</v>
          </cell>
          <cell r="D106"/>
          <cell r="O106">
            <v>53</v>
          </cell>
        </row>
        <row r="107">
          <cell r="C107" t="str">
            <v>гл. ас.</v>
          </cell>
          <cell r="D107"/>
          <cell r="O107">
            <v>44</v>
          </cell>
        </row>
        <row r="108">
          <cell r="C108" t="str">
            <v>гл. ас.</v>
          </cell>
          <cell r="D108" t="str">
            <v>д-р</v>
          </cell>
          <cell r="O108">
            <v>43</v>
          </cell>
        </row>
        <row r="109">
          <cell r="C109" t="str">
            <v>ас.</v>
          </cell>
          <cell r="D109"/>
          <cell r="O109">
            <v>36</v>
          </cell>
        </row>
        <row r="110">
          <cell r="C110" t="str">
            <v>доц.</v>
          </cell>
          <cell r="D110" t="str">
            <v>д-р</v>
          </cell>
          <cell r="O110">
            <v>52</v>
          </cell>
        </row>
        <row r="111">
          <cell r="C111" t="str">
            <v>проф.</v>
          </cell>
          <cell r="D111" t="str">
            <v>дфн</v>
          </cell>
          <cell r="O111">
            <v>77</v>
          </cell>
        </row>
        <row r="112">
          <cell r="C112" t="str">
            <v>доц.</v>
          </cell>
          <cell r="D112" t="str">
            <v>д-р</v>
          </cell>
          <cell r="O112">
            <v>55</v>
          </cell>
        </row>
        <row r="113">
          <cell r="C113" t="str">
            <v>гл. ас.</v>
          </cell>
          <cell r="D113" t="str">
            <v>д-р</v>
          </cell>
          <cell r="O113">
            <v>48</v>
          </cell>
        </row>
        <row r="114">
          <cell r="C114" t="str">
            <v>гл. ас.</v>
          </cell>
          <cell r="D114"/>
          <cell r="O114">
            <v>57</v>
          </cell>
        </row>
        <row r="115">
          <cell r="C115" t="str">
            <v>гл. ас.</v>
          </cell>
          <cell r="D115"/>
          <cell r="O115">
            <v>34</v>
          </cell>
        </row>
        <row r="116">
          <cell r="C116" t="str">
            <v>гл. ас.</v>
          </cell>
          <cell r="D116" t="str">
            <v>д-р</v>
          </cell>
          <cell r="O116">
            <v>40</v>
          </cell>
        </row>
        <row r="117">
          <cell r="C117" t="str">
            <v>гл. ас.</v>
          </cell>
          <cell r="D117" t="str">
            <v>д-р</v>
          </cell>
          <cell r="O117">
            <v>59</v>
          </cell>
        </row>
        <row r="118">
          <cell r="C118" t="str">
            <v>секретар</v>
          </cell>
          <cell r="D118"/>
          <cell r="O118">
            <v>50</v>
          </cell>
        </row>
        <row r="119">
          <cell r="C119" t="str">
            <v>проф.</v>
          </cell>
          <cell r="D119" t="str">
            <v>дфн</v>
          </cell>
          <cell r="O119">
            <v>62</v>
          </cell>
        </row>
        <row r="120">
          <cell r="C120" t="str">
            <v>гл. ас.</v>
          </cell>
          <cell r="D120" t="str">
            <v>д-р</v>
          </cell>
          <cell r="O120">
            <v>41</v>
          </cell>
        </row>
        <row r="121">
          <cell r="C121" t="str">
            <v>доц.</v>
          </cell>
          <cell r="D121" t="str">
            <v>д-р</v>
          </cell>
          <cell r="O121">
            <v>52</v>
          </cell>
        </row>
        <row r="122">
          <cell r="C122" t="str">
            <v>доц.</v>
          </cell>
          <cell r="D122" t="str">
            <v>д-р</v>
          </cell>
          <cell r="O122">
            <v>55</v>
          </cell>
        </row>
        <row r="123">
          <cell r="C123" t="str">
            <v>гл. ас.</v>
          </cell>
          <cell r="D123"/>
          <cell r="O123">
            <v>53</v>
          </cell>
        </row>
        <row r="124">
          <cell r="C124" t="str">
            <v>гл. ас.</v>
          </cell>
          <cell r="D124" t="str">
            <v>д-р</v>
          </cell>
          <cell r="O124">
            <v>47</v>
          </cell>
        </row>
        <row r="125">
          <cell r="C125" t="str">
            <v>гл. ас.</v>
          </cell>
          <cell r="D125" t="str">
            <v>д-р</v>
          </cell>
          <cell r="O125">
            <v>52</v>
          </cell>
        </row>
        <row r="126">
          <cell r="C126" t="str">
            <v>доц.</v>
          </cell>
          <cell r="D126" t="str">
            <v>д-р</v>
          </cell>
          <cell r="O126">
            <v>42</v>
          </cell>
        </row>
        <row r="127">
          <cell r="C127" t="str">
            <v>доц.</v>
          </cell>
          <cell r="D127" t="str">
            <v>д-р</v>
          </cell>
          <cell r="O127">
            <v>45</v>
          </cell>
        </row>
        <row r="128">
          <cell r="C128" t="str">
            <v>доц.</v>
          </cell>
          <cell r="D128" t="str">
            <v>д-р</v>
          </cell>
          <cell r="O128">
            <v>52</v>
          </cell>
        </row>
        <row r="129">
          <cell r="C129" t="str">
            <v>доц.</v>
          </cell>
          <cell r="D129" t="str">
            <v>д-р</v>
          </cell>
          <cell r="O129">
            <v>43</v>
          </cell>
        </row>
        <row r="130">
          <cell r="C130" t="str">
            <v>филолог-специалист</v>
          </cell>
          <cell r="D130"/>
          <cell r="O130">
            <v>53</v>
          </cell>
        </row>
        <row r="131">
          <cell r="C131" t="str">
            <v>гл. ас.</v>
          </cell>
          <cell r="D131" t="str">
            <v>д-р</v>
          </cell>
          <cell r="O131">
            <v>38</v>
          </cell>
        </row>
        <row r="133">
          <cell r="O133">
            <v>50.496124031007753</v>
          </cell>
        </row>
      </sheetData>
      <sheetData sheetId="2"/>
      <sheetData sheetId="3">
        <row r="37">
          <cell r="G37">
            <v>118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ългарска филология"/>
      <sheetName val="Английска филология"/>
      <sheetName val="Руска филология"/>
      <sheetName val="Славянска филология (полска)"/>
      <sheetName val="Славянска филология (чешки)"/>
      <sheetName val="Славянска филология (срб)"/>
      <sheetName val="Балканистика"/>
      <sheetName val="Лингвистика (Анг. и чужд с ИТ)"/>
      <sheetName val="Лингвистика (Анг. и нем. ИТ)"/>
      <sheetName val="Лингвистика (Анг. и френ. ИТ)"/>
      <sheetName val="Лингвистика (Анг. и испан. ИТ)"/>
      <sheetName val="Български и чужд език (базов)"/>
      <sheetName val="Български и английски език"/>
      <sheetName val="Български език и история"/>
      <sheetName val="Български език и немски език"/>
      <sheetName val="Български език и френски език"/>
      <sheetName val="Български език и руски език"/>
      <sheetName val="Български и испански език"/>
      <sheetName val="Български език и новогръцки"/>
      <sheetName val="Български език и турски език"/>
      <sheetName val="Руски език и чужд език"/>
      <sheetName val="Английски и френски език"/>
      <sheetName val="Английски и немски език"/>
      <sheetName val="PSW_Sheet"/>
      <sheetName val="Приложна лингвистика (2 чужди)"/>
      <sheetName val="Английски с физика"/>
      <sheetName val="Българска филология (ЗО нов)"/>
      <sheetName val="Руска филология (ЗО нов)"/>
      <sheetName val="Български и история (ЗО нов)"/>
      <sheetName val="Български и руски език (ЗО нов)"/>
      <sheetName val="Руски език и английски език"/>
      <sheetName val="Руски език и френски език"/>
      <sheetName val="Руски език и немски език"/>
      <sheetName val="Статлист"/>
      <sheetName val="2010 личен състав дан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P1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ългарска филология"/>
      <sheetName val="Английска филология"/>
      <sheetName val="Руска филология"/>
      <sheetName val="Френска филология"/>
      <sheetName val="Славянска филология (чешки)"/>
      <sheetName val="Славянска филология (полска)"/>
      <sheetName val="Славянска филология (срб)"/>
      <sheetName val="Балканистика"/>
      <sheetName val="Лингвистика с маркетинг"/>
      <sheetName val="Лингвистика (Анг. и чужд с ИТ)"/>
      <sheetName val="Приложна лингвистика (2 чужди)"/>
      <sheetName val="Приложна лингвистика (А и Ч)"/>
      <sheetName val="Приложна лингвистика (Н и Ч)"/>
      <sheetName val="Приложна лингвистика (Ф и Ч)"/>
      <sheetName val="Български и чужд език (базов)"/>
      <sheetName val="Български и английски език"/>
      <sheetName val="Български език и история"/>
      <sheetName val="Български език и немски език"/>
      <sheetName val="Български език и френски език"/>
      <sheetName val="Български език и руски език"/>
      <sheetName val="Български и испански език"/>
      <sheetName val="Български език и новогръцки"/>
      <sheetName val="Български език и турски език"/>
      <sheetName val="Български език и китайски език"/>
      <sheetName val="Български език и италиански"/>
      <sheetName val="Английски език и италиански"/>
      <sheetName val="Английски език и китайски"/>
      <sheetName val="Немски език и китайски"/>
      <sheetName val="Българска филология (ЗО нов)"/>
      <sheetName val="Руска филология (ЗО нов)"/>
      <sheetName val="Български и история (ЗО нов)"/>
      <sheetName val="Български и руски език (ЗО нов)"/>
      <sheetName val="Английски и френски език"/>
      <sheetName val="Английски и немски език"/>
      <sheetName val="Английски с физика"/>
      <sheetName val="Руски език и чужд език"/>
      <sheetName val="Лингвистика и превод"/>
      <sheetName val="Актуална българистика (Л)"/>
      <sheetName val="Актуална българистика (Е)"/>
      <sheetName val="Актуална русистика"/>
      <sheetName val="Приложна лингвистика (испански)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">
          <cell r="L4">
            <v>30</v>
          </cell>
        </row>
      </sheetData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личен състав ОТД"/>
      <sheetName val="2012 личен състав ХОН"/>
      <sheetName val="ОТД-ХОН"/>
      <sheetName val="Пенсиониране"/>
      <sheetName val="Лист1"/>
      <sheetName val="Лист2"/>
      <sheetName val="Лист3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/>
          <cell r="O1" t="str">
            <v>година3</v>
          </cell>
          <cell r="P1">
            <v>2013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/>
          <cell r="AC1"/>
          <cell r="AD1"/>
          <cell r="AE1"/>
          <cell r="AF1"/>
          <cell r="AG1"/>
          <cell r="AH1"/>
          <cell r="AI1"/>
          <cell r="AJ1"/>
          <cell r="AK1"/>
          <cell r="AL1"/>
          <cell r="AM1"/>
          <cell r="AN1"/>
          <cell r="AO1"/>
        </row>
        <row r="2">
          <cell r="A2" t="str">
            <v>код</v>
          </cell>
          <cell r="B2" t="str">
            <v>име, фамилия</v>
          </cell>
          <cell r="C2" t="str">
            <v>длъжност</v>
          </cell>
          <cell r="D2" t="str">
            <v>степен</v>
          </cell>
          <cell r="E2" t="str">
            <v>име</v>
          </cell>
          <cell r="F2" t="str">
            <v>презиме</v>
          </cell>
          <cell r="G2" t="str">
            <v>фамилия</v>
          </cell>
          <cell r="H2" t="str">
            <v>звено</v>
          </cell>
          <cell r="I2" t="str">
            <v>ВУЗ</v>
          </cell>
          <cell r="J2" t="str">
            <v>ХАБ</v>
          </cell>
          <cell r="K2" t="str">
            <v>СТЕПЕН</v>
          </cell>
          <cell r="L2" t="str">
            <v>ТРУД</v>
          </cell>
          <cell r="M2" t="str">
            <v>годинанараждане</v>
          </cell>
          <cell r="N2" t="str">
            <v>ПОЛ</v>
          </cell>
          <cell r="O2" t="str">
            <v>ГОДИНИ</v>
          </cell>
          <cell r="P2" t="str">
            <v>кога д-р</v>
          </cell>
          <cell r="Q2" t="str">
            <v>шифър д-р</v>
          </cell>
          <cell r="R2" t="str">
            <v>кога дфн</v>
          </cell>
          <cell r="S2" t="str">
            <v>шифър дфн</v>
          </cell>
          <cell r="T2" t="str">
            <v>кога професор</v>
          </cell>
          <cell r="U2" t="str">
            <v>шифър професор</v>
          </cell>
          <cell r="V2" t="str">
            <v>кога доцент</v>
          </cell>
          <cell r="W2" t="str">
            <v>шифър доцент</v>
          </cell>
          <cell r="X2" t="str">
            <v>кога гл.ас.</v>
          </cell>
          <cell r="Y2" t="str">
            <v>шифър гл.ас.</v>
          </cell>
          <cell r="Z2" t="str">
            <v>кога ас.</v>
          </cell>
          <cell r="AA2" t="str">
            <v>шифър ас.</v>
          </cell>
        </row>
        <row r="3">
          <cell r="A3"/>
          <cell r="B3" t="str">
            <v>секретар  Татяна Петкова</v>
          </cell>
          <cell r="C3" t="str">
            <v>секретар</v>
          </cell>
          <cell r="D3"/>
          <cell r="E3" t="str">
            <v>Татяна</v>
          </cell>
          <cell r="F3" t="str">
            <v>Иванова</v>
          </cell>
          <cell r="G3" t="str">
            <v>Петкова</v>
          </cell>
          <cell r="H3" t="str">
            <v>Деканат</v>
          </cell>
          <cell r="I3" t="str">
            <v>ПУ</v>
          </cell>
          <cell r="J3" t="str">
            <v>NEHAB</v>
          </cell>
          <cell r="K3" t="str">
            <v>NODR</v>
          </cell>
          <cell r="L3" t="str">
            <v>ОТД</v>
          </cell>
          <cell r="M3">
            <v>1982</v>
          </cell>
          <cell r="N3" t="str">
            <v>жена</v>
          </cell>
          <cell r="O3">
            <v>31</v>
          </cell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</row>
        <row r="4">
          <cell r="A4"/>
          <cell r="B4" t="str">
            <v>системен администратор  Мария Гуджева-Каракашева</v>
          </cell>
          <cell r="C4" t="str">
            <v>системен администратор</v>
          </cell>
          <cell r="D4"/>
          <cell r="E4" t="str">
            <v>Мария</v>
          </cell>
          <cell r="F4" t="str">
            <v>Атанасова</v>
          </cell>
          <cell r="G4" t="str">
            <v>Гуджева-Каракашева</v>
          </cell>
          <cell r="H4" t="str">
            <v>Деканат</v>
          </cell>
          <cell r="I4" t="str">
            <v>ПУ</v>
          </cell>
          <cell r="J4" t="str">
            <v>NEHAB</v>
          </cell>
          <cell r="K4" t="str">
            <v>NODR</v>
          </cell>
          <cell r="L4" t="str">
            <v>ОТД</v>
          </cell>
          <cell r="M4">
            <v>1969</v>
          </cell>
          <cell r="N4" t="str">
            <v>жена</v>
          </cell>
          <cell r="O4">
            <v>44</v>
          </cell>
          <cell r="P4"/>
          <cell r="Q4"/>
          <cell r="R4"/>
          <cell r="S4"/>
          <cell r="T4"/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</row>
        <row r="5">
          <cell r="A5" t="str">
            <v>Бучков</v>
          </cell>
          <cell r="B5" t="str">
            <v>доц. д-р Атанас Бучков</v>
          </cell>
          <cell r="C5" t="str">
            <v>доц.</v>
          </cell>
          <cell r="D5" t="str">
            <v>д-р</v>
          </cell>
          <cell r="E5" t="str">
            <v>Атанас</v>
          </cell>
          <cell r="F5" t="str">
            <v>Вангелов</v>
          </cell>
          <cell r="G5" t="str">
            <v>Бучков</v>
          </cell>
          <cell r="H5" t="str">
            <v>Катедра по българска литература</v>
          </cell>
          <cell r="I5" t="str">
            <v>ПУ</v>
          </cell>
          <cell r="J5" t="str">
            <v>HAB</v>
          </cell>
          <cell r="K5" t="str">
            <v>DR</v>
          </cell>
          <cell r="L5" t="str">
            <v>ОТД</v>
          </cell>
          <cell r="M5">
            <v>1949</v>
          </cell>
          <cell r="N5" t="str">
            <v>мъж</v>
          </cell>
          <cell r="O5">
            <v>64</v>
          </cell>
          <cell r="P5"/>
          <cell r="Q5" t="str">
            <v>05.04.01 Теория и история на литературата</v>
          </cell>
          <cell r="R5"/>
          <cell r="S5"/>
          <cell r="T5"/>
          <cell r="U5"/>
          <cell r="V5"/>
          <cell r="W5" t="str">
            <v>05.04.01 Теория и история на литературата</v>
          </cell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</row>
        <row r="6">
          <cell r="A6" t="str">
            <v>йовчева</v>
          </cell>
          <cell r="B6" t="str">
            <v>доц. д-р Мария Йовчева</v>
          </cell>
          <cell r="C6" t="str">
            <v>доц.</v>
          </cell>
          <cell r="D6" t="str">
            <v>д-р</v>
          </cell>
          <cell r="E6" t="str">
            <v>Мария</v>
          </cell>
          <cell r="F6" t="str">
            <v>Атанасова</v>
          </cell>
          <cell r="G6" t="str">
            <v>Йовчева</v>
          </cell>
          <cell r="H6" t="str">
            <v>Катедра по българска литература</v>
          </cell>
          <cell r="I6" t="str">
            <v>ПУ</v>
          </cell>
          <cell r="J6" t="str">
            <v>HAB</v>
          </cell>
          <cell r="K6" t="str">
            <v>DR</v>
          </cell>
          <cell r="L6" t="str">
            <v>ОТД</v>
          </cell>
          <cell r="M6">
            <v>1959</v>
          </cell>
          <cell r="N6" t="str">
            <v>жена</v>
          </cell>
          <cell r="O6">
            <v>54</v>
          </cell>
          <cell r="P6" t="str">
            <v>29.09.1999</v>
          </cell>
          <cell r="Q6" t="str">
            <v>05.04.17 Български език</v>
          </cell>
          <cell r="R6"/>
          <cell r="S6"/>
          <cell r="T6"/>
          <cell r="U6"/>
          <cell r="V6" t="str">
            <v>20.01.2003</v>
          </cell>
          <cell r="W6" t="str">
            <v>05.04.17 Български език</v>
          </cell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 t="str">
            <v>Пелева</v>
          </cell>
          <cell r="B7" t="str">
            <v>проф. дфн Инна Пелева</v>
          </cell>
          <cell r="C7" t="str">
            <v>проф.</v>
          </cell>
          <cell r="D7" t="str">
            <v>дфн</v>
          </cell>
          <cell r="E7" t="str">
            <v>Инна</v>
          </cell>
          <cell r="F7" t="str">
            <v>Иванова</v>
          </cell>
          <cell r="G7" t="str">
            <v>Пелева</v>
          </cell>
          <cell r="H7" t="str">
            <v>Катедра по българска литература</v>
          </cell>
          <cell r="I7" t="str">
            <v>ПУ</v>
          </cell>
          <cell r="J7" t="str">
            <v>HAB</v>
          </cell>
          <cell r="K7" t="str">
            <v>DR</v>
          </cell>
          <cell r="L7" t="str">
            <v>ОТД</v>
          </cell>
          <cell r="M7">
            <v>1964</v>
          </cell>
          <cell r="N7" t="str">
            <v>жена</v>
          </cell>
          <cell r="O7">
            <v>49</v>
          </cell>
          <cell r="P7"/>
          <cell r="Q7"/>
          <cell r="R7"/>
          <cell r="S7" t="str">
            <v>05.04.02 Българска литература</v>
          </cell>
          <cell r="T7"/>
          <cell r="U7" t="str">
            <v>05.04.02 Българска литература</v>
          </cell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 t="str">
            <v>Козлуджов</v>
          </cell>
          <cell r="B8" t="str">
            <v>проф. д-р Запрян Козлуджов</v>
          </cell>
          <cell r="C8" t="str">
            <v>проф.</v>
          </cell>
          <cell r="D8" t="str">
            <v>д-р</v>
          </cell>
          <cell r="E8" t="str">
            <v>Запрян</v>
          </cell>
          <cell r="F8" t="str">
            <v>Ангелов</v>
          </cell>
          <cell r="G8" t="str">
            <v>Козлуджов</v>
          </cell>
          <cell r="H8" t="str">
            <v>Катедра по българска литература</v>
          </cell>
          <cell r="I8" t="str">
            <v>ПУ</v>
          </cell>
          <cell r="J8" t="str">
            <v>HAB</v>
          </cell>
          <cell r="K8" t="str">
            <v>DR</v>
          </cell>
          <cell r="L8" t="str">
            <v>ОТД</v>
          </cell>
          <cell r="M8">
            <v>1959</v>
          </cell>
          <cell r="N8" t="str">
            <v>мъж</v>
          </cell>
          <cell r="O8">
            <v>54</v>
          </cell>
          <cell r="P8"/>
          <cell r="Q8" t="str">
            <v>05.04.01 Теория и история на литературата</v>
          </cell>
          <cell r="R8"/>
          <cell r="S8"/>
          <cell r="T8"/>
          <cell r="U8"/>
          <cell r="V8"/>
          <cell r="W8" t="str">
            <v>05.04.01 Теория и история н алитературата</v>
          </cell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 t="str">
            <v>Янев</v>
          </cell>
          <cell r="B9" t="str">
            <v>доц. д-р Владимир Янев</v>
          </cell>
          <cell r="C9" t="str">
            <v>доц.</v>
          </cell>
          <cell r="D9" t="str">
            <v>д-р</v>
          </cell>
          <cell r="E9" t="str">
            <v>Владимир</v>
          </cell>
          <cell r="F9" t="str">
            <v>Атанасов</v>
          </cell>
          <cell r="G9" t="str">
            <v>Янев</v>
          </cell>
          <cell r="H9" t="str">
            <v>Катедра по българска литература</v>
          </cell>
          <cell r="I9" t="str">
            <v>ПУ</v>
          </cell>
          <cell r="J9" t="str">
            <v>HAB</v>
          </cell>
          <cell r="K9" t="str">
            <v>DR</v>
          </cell>
          <cell r="L9" t="str">
            <v>ОТД</v>
          </cell>
          <cell r="M9">
            <v>1950</v>
          </cell>
          <cell r="N9" t="str">
            <v>мъж</v>
          </cell>
          <cell r="O9">
            <v>63</v>
          </cell>
          <cell r="P9"/>
          <cell r="Q9" t="str">
            <v>05.04.02 Българска литература</v>
          </cell>
          <cell r="R9"/>
          <cell r="S9"/>
          <cell r="T9"/>
          <cell r="U9"/>
          <cell r="V9"/>
          <cell r="W9" t="str">
            <v>05.04.02 Българска литература</v>
          </cell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 t="str">
            <v>Липчева</v>
          </cell>
          <cell r="B10" t="str">
            <v>проф. дфн Любка Липчева-Пранджева</v>
          </cell>
          <cell r="C10" t="str">
            <v>проф.</v>
          </cell>
          <cell r="D10" t="str">
            <v>дфн</v>
          </cell>
          <cell r="E10" t="str">
            <v>Любка</v>
          </cell>
          <cell r="F10" t="str">
            <v>Петрова</v>
          </cell>
          <cell r="G10" t="str">
            <v>Липчева-Пранджева</v>
          </cell>
          <cell r="H10" t="str">
            <v>Катедра по българска литература</v>
          </cell>
          <cell r="I10" t="str">
            <v>ПУ</v>
          </cell>
          <cell r="J10" t="str">
            <v>HAB</v>
          </cell>
          <cell r="K10" t="str">
            <v>DR</v>
          </cell>
          <cell r="L10" t="str">
            <v>ОТД</v>
          </cell>
          <cell r="M10">
            <v>1961</v>
          </cell>
          <cell r="N10" t="str">
            <v>жена</v>
          </cell>
          <cell r="O10">
            <v>52</v>
          </cell>
          <cell r="P10"/>
          <cell r="Q10" t="str">
            <v>05.04.01 Теория и история на литературата</v>
          </cell>
          <cell r="R10"/>
          <cell r="S10"/>
          <cell r="T10"/>
          <cell r="U10"/>
          <cell r="V10"/>
          <cell r="W10" t="str">
            <v>05.04.01 Теория и история на литературата</v>
          </cell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 t="str">
            <v>Гарушева</v>
          </cell>
          <cell r="B11" t="str">
            <v>доц. д-р Пенка Гарушева-Карамалакова</v>
          </cell>
          <cell r="C11" t="str">
            <v>доц.</v>
          </cell>
          <cell r="D11" t="str">
            <v>д-р</v>
          </cell>
          <cell r="E11" t="str">
            <v>Пенка</v>
          </cell>
          <cell r="F11" t="str">
            <v>Христова</v>
          </cell>
          <cell r="G11" t="str">
            <v>Гарушева-Карамалакова</v>
          </cell>
          <cell r="H11" t="str">
            <v>Катедра по българска литература</v>
          </cell>
          <cell r="I11" t="str">
            <v>ПУ</v>
          </cell>
          <cell r="J11" t="str">
            <v>HAB</v>
          </cell>
          <cell r="K11" t="str">
            <v>DR</v>
          </cell>
          <cell r="L11" t="str">
            <v>ОТД</v>
          </cell>
          <cell r="M11">
            <v>1947</v>
          </cell>
          <cell r="N11" t="str">
            <v>жена</v>
          </cell>
          <cell r="O11">
            <v>66</v>
          </cell>
          <cell r="P11"/>
          <cell r="Q11" t="str">
            <v>05.07.03 Методика на обучението по български език</v>
          </cell>
          <cell r="R11"/>
          <cell r="S11"/>
          <cell r="T11"/>
          <cell r="U11"/>
          <cell r="V11"/>
          <cell r="W11" t="str">
            <v>05.07.03 Методика на обучението по български език</v>
          </cell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 t="str">
            <v>Кръстев</v>
          </cell>
          <cell r="B12" t="str">
            <v>гл. ас. д-р Димитър Кръстев</v>
          </cell>
          <cell r="C12" t="str">
            <v>гл. ас.</v>
          </cell>
          <cell r="D12" t="str">
            <v>д-р</v>
          </cell>
          <cell r="E12" t="str">
            <v>Димитър</v>
          </cell>
          <cell r="F12" t="str">
            <v>Тодоров</v>
          </cell>
          <cell r="G12" t="str">
            <v>Кръстев</v>
          </cell>
          <cell r="H12" t="str">
            <v>Катедра по българска литература</v>
          </cell>
          <cell r="I12" t="str">
            <v>ПУ</v>
          </cell>
          <cell r="J12" t="str">
            <v>NEHAB</v>
          </cell>
          <cell r="K12" t="str">
            <v>DR</v>
          </cell>
          <cell r="L12" t="str">
            <v>ОТД</v>
          </cell>
          <cell r="M12">
            <v>1967</v>
          </cell>
          <cell r="N12" t="str">
            <v>мъж</v>
          </cell>
          <cell r="O12">
            <v>46</v>
          </cell>
          <cell r="P12"/>
          <cell r="Q12" t="str">
            <v>05.04.01 Теория и история на литературата</v>
          </cell>
          <cell r="R12"/>
          <cell r="S12"/>
          <cell r="T12"/>
          <cell r="U12"/>
          <cell r="V12"/>
          <cell r="W12"/>
          <cell r="X12"/>
          <cell r="Y12" t="str">
            <v>05.04.01 Теория и история на литературата</v>
          </cell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 t="str">
            <v>Чолаков</v>
          </cell>
          <cell r="B13" t="str">
            <v>ас.  Иван Чолаков</v>
          </cell>
          <cell r="C13" t="str">
            <v>ас.</v>
          </cell>
          <cell r="D13"/>
          <cell r="E13" t="str">
            <v>Иван</v>
          </cell>
          <cell r="F13" t="str">
            <v>Атанасов</v>
          </cell>
          <cell r="G13" t="str">
            <v>Чолаков</v>
          </cell>
          <cell r="H13" t="str">
            <v>Катедра по българска литература</v>
          </cell>
          <cell r="I13" t="str">
            <v>ПУ</v>
          </cell>
          <cell r="J13" t="str">
            <v>NEHAB</v>
          </cell>
          <cell r="K13" t="str">
            <v>NODR</v>
          </cell>
          <cell r="L13" t="str">
            <v>ОТД</v>
          </cell>
          <cell r="M13">
            <v>1961</v>
          </cell>
          <cell r="N13" t="str">
            <v>мъж</v>
          </cell>
          <cell r="O13">
            <v>52</v>
          </cell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 t="str">
            <v>05.07.03 Методика на обучението по български език</v>
          </cell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 t="str">
            <v>Модикян</v>
          </cell>
          <cell r="B14" t="str">
            <v>гл. ас.  Анна Модикян</v>
          </cell>
          <cell r="C14" t="str">
            <v>гл. ас.</v>
          </cell>
          <cell r="D14"/>
          <cell r="E14" t="str">
            <v>Анна</v>
          </cell>
          <cell r="F14" t="str">
            <v>Ованес</v>
          </cell>
          <cell r="G14" t="str">
            <v>Модикян</v>
          </cell>
          <cell r="H14" t="str">
            <v>Катедра по българска литература</v>
          </cell>
          <cell r="I14" t="str">
            <v>ПУ</v>
          </cell>
          <cell r="J14" t="str">
            <v>NEHAB</v>
          </cell>
          <cell r="K14" t="str">
            <v>NODR</v>
          </cell>
          <cell r="L14" t="str">
            <v>ОТД</v>
          </cell>
          <cell r="M14">
            <v>1952</v>
          </cell>
          <cell r="N14" t="str">
            <v>жена</v>
          </cell>
          <cell r="O14">
            <v>61</v>
          </cell>
          <cell r="P14"/>
          <cell r="Q14"/>
          <cell r="R14"/>
          <cell r="S14"/>
          <cell r="T14"/>
          <cell r="U14"/>
          <cell r="V14"/>
          <cell r="W14"/>
          <cell r="X14"/>
          <cell r="Y14" t="str">
            <v>05.07.03 Методик на обучението по български език</v>
          </cell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 t="str">
            <v>Спилкова</v>
          </cell>
          <cell r="B15" t="str">
            <v>доц. д-р Соня Спилкова</v>
          </cell>
          <cell r="C15" t="str">
            <v>доц.</v>
          </cell>
          <cell r="D15" t="str">
            <v>д-р</v>
          </cell>
          <cell r="E15" t="str">
            <v>Соня</v>
          </cell>
          <cell r="F15" t="str">
            <v>Райчева</v>
          </cell>
          <cell r="G15" t="str">
            <v>Спилкова</v>
          </cell>
          <cell r="H15" t="str">
            <v>Катедра по българска литература</v>
          </cell>
          <cell r="I15" t="str">
            <v>ПУ</v>
          </cell>
          <cell r="J15" t="str">
            <v>HAB</v>
          </cell>
          <cell r="K15" t="str">
            <v>DR</v>
          </cell>
          <cell r="L15" t="str">
            <v>ОТД</v>
          </cell>
          <cell r="M15">
            <v>1952</v>
          </cell>
          <cell r="N15" t="str">
            <v>жена</v>
          </cell>
          <cell r="O15">
            <v>61</v>
          </cell>
          <cell r="P15"/>
          <cell r="Q15" t="str">
            <v>05.07.03 Методика на обучението по българска литература</v>
          </cell>
          <cell r="R15"/>
          <cell r="S15"/>
          <cell r="T15"/>
          <cell r="U15"/>
          <cell r="V15"/>
          <cell r="W15" t="str">
            <v>05.07.03 Методика на обучението по българска литература</v>
          </cell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 t="str">
            <v>Бойкова</v>
          </cell>
          <cell r="B16" t="str">
            <v>гл. ас.  Фани Бойкова</v>
          </cell>
          <cell r="C16" t="str">
            <v>гл. ас.</v>
          </cell>
          <cell r="D16"/>
          <cell r="E16" t="str">
            <v>Фани</v>
          </cell>
          <cell r="F16" t="str">
            <v>Евгениева</v>
          </cell>
          <cell r="G16" t="str">
            <v>Бойкова</v>
          </cell>
          <cell r="H16" t="str">
            <v>Катедра по българска литература</v>
          </cell>
          <cell r="I16" t="str">
            <v>ПУ</v>
          </cell>
          <cell r="J16" t="str">
            <v>NEHAB</v>
          </cell>
          <cell r="K16" t="str">
            <v>NODR</v>
          </cell>
          <cell r="L16" t="str">
            <v>ОТД</v>
          </cell>
          <cell r="M16">
            <v>1964</v>
          </cell>
          <cell r="N16" t="str">
            <v>жена</v>
          </cell>
          <cell r="O16">
            <v>49</v>
          </cell>
          <cell r="P16"/>
          <cell r="Q16"/>
          <cell r="R16"/>
          <cell r="S16"/>
          <cell r="T16"/>
          <cell r="U16"/>
          <cell r="V16"/>
          <cell r="W16"/>
          <cell r="X16"/>
          <cell r="Y16" t="str">
            <v>05.07.03 Методика на обучението по български език</v>
          </cell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/>
          <cell r="B17" t="str">
            <v>секретар  Димитринка Димитрова</v>
          </cell>
          <cell r="C17" t="str">
            <v>секретар</v>
          </cell>
          <cell r="D17"/>
          <cell r="E17" t="str">
            <v>Димитринка</v>
          </cell>
          <cell r="F17" t="str">
            <v>Тенчева</v>
          </cell>
          <cell r="G17" t="str">
            <v>Димитрова</v>
          </cell>
          <cell r="H17" t="str">
            <v>Катедра по българска литература</v>
          </cell>
          <cell r="I17" t="str">
            <v>ПУ</v>
          </cell>
          <cell r="J17" t="str">
            <v>NEHAB</v>
          </cell>
          <cell r="K17" t="str">
            <v>NODR</v>
          </cell>
          <cell r="L17" t="str">
            <v>ОТД</v>
          </cell>
          <cell r="M17">
            <v>1978</v>
          </cell>
          <cell r="N17" t="str">
            <v>жена</v>
          </cell>
          <cell r="O17">
            <v>35</v>
          </cell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 t="str">
            <v>Маровска</v>
          </cell>
          <cell r="B18" t="str">
            <v>доц. дфн Вера Маровска</v>
          </cell>
          <cell r="C18" t="str">
            <v>доц.</v>
          </cell>
          <cell r="D18" t="str">
            <v>дфн</v>
          </cell>
          <cell r="E18" t="str">
            <v>Вера</v>
          </cell>
          <cell r="F18" t="str">
            <v>Тервел</v>
          </cell>
          <cell r="G18" t="str">
            <v>Маровска</v>
          </cell>
          <cell r="H18" t="str">
            <v>Катедра по български език</v>
          </cell>
          <cell r="I18" t="str">
            <v>ПУ</v>
          </cell>
          <cell r="J18" t="str">
            <v>HAB</v>
          </cell>
          <cell r="K18" t="str">
            <v>DR</v>
          </cell>
          <cell r="L18" t="str">
            <v>ОТД</v>
          </cell>
          <cell r="M18">
            <v>1954</v>
          </cell>
          <cell r="N18" t="str">
            <v>жена</v>
          </cell>
          <cell r="O18">
            <v>59</v>
          </cell>
          <cell r="P18"/>
          <cell r="Q18"/>
          <cell r="R18"/>
          <cell r="S18" t="str">
            <v>05.04.17 Български език</v>
          </cell>
          <cell r="T18"/>
          <cell r="U18"/>
          <cell r="V18"/>
          <cell r="W18" t="str">
            <v>05.04.17 Български език</v>
          </cell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 t="str">
            <v>Куцаров</v>
          </cell>
          <cell r="B19" t="str">
            <v>проф. дфн Иван Куцаров</v>
          </cell>
          <cell r="C19" t="str">
            <v>проф.</v>
          </cell>
          <cell r="D19" t="str">
            <v>дфн</v>
          </cell>
          <cell r="E19" t="str">
            <v>Иван</v>
          </cell>
          <cell r="F19" t="str">
            <v>Костадинов</v>
          </cell>
          <cell r="G19" t="str">
            <v>Куцаров</v>
          </cell>
          <cell r="H19" t="str">
            <v>Катедра по български език</v>
          </cell>
          <cell r="I19" t="str">
            <v>ПУ</v>
          </cell>
          <cell r="J19" t="str">
            <v>HAB</v>
          </cell>
          <cell r="K19" t="str">
            <v>DR</v>
          </cell>
          <cell r="L19" t="str">
            <v>ОТД</v>
          </cell>
          <cell r="M19">
            <v>1942</v>
          </cell>
          <cell r="N19" t="str">
            <v>мъж</v>
          </cell>
          <cell r="O19">
            <v>71</v>
          </cell>
          <cell r="P19"/>
          <cell r="Q19"/>
          <cell r="R19"/>
          <cell r="S19" t="str">
            <v>05.04.17 Български език</v>
          </cell>
          <cell r="T19"/>
          <cell r="U19" t="str">
            <v>05.04.17 Български език</v>
          </cell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 t="str">
            <v>ДИванова</v>
          </cell>
          <cell r="B20" t="str">
            <v>проф. дфн Диана Иванова</v>
          </cell>
          <cell r="C20" t="str">
            <v>проф.</v>
          </cell>
          <cell r="D20" t="str">
            <v>дфн</v>
          </cell>
          <cell r="E20" t="str">
            <v>Диана</v>
          </cell>
          <cell r="F20" t="str">
            <v>Петрова</v>
          </cell>
          <cell r="G20" t="str">
            <v>Иванова</v>
          </cell>
          <cell r="H20" t="str">
            <v>Катедра по български език</v>
          </cell>
          <cell r="I20" t="str">
            <v>ПУ</v>
          </cell>
          <cell r="J20" t="str">
            <v>HAB</v>
          </cell>
          <cell r="K20" t="str">
            <v>DR</v>
          </cell>
          <cell r="L20" t="str">
            <v>ОТД</v>
          </cell>
          <cell r="M20">
            <v>1950</v>
          </cell>
          <cell r="N20" t="str">
            <v>жена</v>
          </cell>
          <cell r="O20">
            <v>63</v>
          </cell>
          <cell r="P20"/>
          <cell r="Q20"/>
          <cell r="R20"/>
          <cell r="S20" t="str">
            <v>05.04.17 Български език</v>
          </cell>
          <cell r="T20"/>
          <cell r="U20" t="str">
            <v>05.04.17 Български език</v>
          </cell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 t="str">
            <v>Бояджиев</v>
          </cell>
          <cell r="B21" t="str">
            <v>проф. д-р Тодор Бояджиев</v>
          </cell>
          <cell r="C21" t="str">
            <v>проф.</v>
          </cell>
          <cell r="D21" t="str">
            <v>д-р</v>
          </cell>
          <cell r="E21" t="str">
            <v>Тодор</v>
          </cell>
          <cell r="F21" t="str">
            <v>Апостолов</v>
          </cell>
          <cell r="G21" t="str">
            <v>Бояджиев</v>
          </cell>
          <cell r="H21" t="str">
            <v>Катедра по български език</v>
          </cell>
          <cell r="I21" t="str">
            <v>ПУ</v>
          </cell>
          <cell r="J21" t="str">
            <v>HAB</v>
          </cell>
          <cell r="K21" t="str">
            <v>DR</v>
          </cell>
          <cell r="L21" t="str">
            <v>ОТД</v>
          </cell>
          <cell r="M21">
            <v>1931</v>
          </cell>
          <cell r="N21" t="str">
            <v>мъж</v>
          </cell>
          <cell r="O21">
            <v>82</v>
          </cell>
          <cell r="P21"/>
          <cell r="Q21"/>
          <cell r="R21"/>
          <cell r="S21" t="str">
            <v>05.04.17 Български език</v>
          </cell>
          <cell r="T21"/>
          <cell r="U21" t="str">
            <v>05.04.17 Български език</v>
          </cell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 t="str">
            <v>Бъркалова</v>
          </cell>
          <cell r="B22" t="str">
            <v>доц. д-р Петя Бъркалова</v>
          </cell>
          <cell r="C22" t="str">
            <v>доц.</v>
          </cell>
          <cell r="D22" t="str">
            <v>д-р</v>
          </cell>
          <cell r="E22" t="str">
            <v>Петя</v>
          </cell>
          <cell r="F22" t="str">
            <v>Николова</v>
          </cell>
          <cell r="G22" t="str">
            <v>Бъркалова</v>
          </cell>
          <cell r="H22" t="str">
            <v>Катедра по български език</v>
          </cell>
          <cell r="I22" t="str">
            <v>ПУ</v>
          </cell>
          <cell r="J22" t="str">
            <v>HAB</v>
          </cell>
          <cell r="K22" t="str">
            <v>DR</v>
          </cell>
          <cell r="L22" t="str">
            <v>ОТД</v>
          </cell>
          <cell r="M22">
            <v>1956</v>
          </cell>
          <cell r="N22" t="str">
            <v>жена</v>
          </cell>
          <cell r="O22">
            <v>57</v>
          </cell>
          <cell r="P22"/>
          <cell r="Q22" t="str">
            <v>05.04.17 Български език</v>
          </cell>
          <cell r="R22"/>
          <cell r="S22"/>
          <cell r="T22"/>
          <cell r="U22"/>
          <cell r="V22"/>
          <cell r="W22" t="str">
            <v>05.04.17 Български език</v>
          </cell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 t="str">
            <v>Зидарова</v>
          </cell>
          <cell r="B23" t="str">
            <v>доц. д-р Ваня Зидарова</v>
          </cell>
          <cell r="C23" t="str">
            <v>доц.</v>
          </cell>
          <cell r="D23" t="str">
            <v>д-р</v>
          </cell>
          <cell r="E23" t="str">
            <v>Ваня</v>
          </cell>
          <cell r="F23" t="str">
            <v>Иванова</v>
          </cell>
          <cell r="G23" t="str">
            <v>Зидарова</v>
          </cell>
          <cell r="H23" t="str">
            <v>Катедра по български език</v>
          </cell>
          <cell r="I23" t="str">
            <v>ПУ</v>
          </cell>
          <cell r="J23" t="str">
            <v>HAB</v>
          </cell>
          <cell r="K23" t="str">
            <v>DR</v>
          </cell>
          <cell r="L23" t="str">
            <v>ОТД</v>
          </cell>
          <cell r="M23">
            <v>1959</v>
          </cell>
          <cell r="N23" t="str">
            <v>жена</v>
          </cell>
          <cell r="O23">
            <v>54</v>
          </cell>
          <cell r="P23"/>
          <cell r="Q23" t="str">
            <v>05.04.17 Български език</v>
          </cell>
          <cell r="R23"/>
          <cell r="S23"/>
          <cell r="T23"/>
          <cell r="U23"/>
          <cell r="V23"/>
          <cell r="W23" t="str">
            <v>05.04.17 Български език</v>
          </cell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 t="str">
            <v>Гайдаджиева</v>
          </cell>
          <cell r="B24" t="str">
            <v>гл. ас. д-р Иванка Гайдаджиева</v>
          </cell>
          <cell r="C24" t="str">
            <v>гл. ас.</v>
          </cell>
          <cell r="D24" t="str">
            <v>д-р</v>
          </cell>
          <cell r="E24" t="str">
            <v>Иванка</v>
          </cell>
          <cell r="F24" t="str">
            <v>Вълчева</v>
          </cell>
          <cell r="G24" t="str">
            <v>Гайдаджиева</v>
          </cell>
          <cell r="H24" t="str">
            <v>Катедра по български език</v>
          </cell>
          <cell r="I24" t="str">
            <v>ПУ</v>
          </cell>
          <cell r="J24" t="str">
            <v>NEHAB</v>
          </cell>
          <cell r="K24" t="str">
            <v>DR</v>
          </cell>
          <cell r="L24" t="str">
            <v>ОТД</v>
          </cell>
          <cell r="M24">
            <v>1958</v>
          </cell>
          <cell r="N24" t="str">
            <v>жена</v>
          </cell>
          <cell r="O24">
            <v>55</v>
          </cell>
          <cell r="P24"/>
          <cell r="Q24" t="str">
            <v>05.04.17 Български език</v>
          </cell>
          <cell r="R24"/>
          <cell r="S24"/>
          <cell r="T24"/>
          <cell r="U24"/>
          <cell r="V24"/>
          <cell r="W24"/>
          <cell r="X24"/>
          <cell r="Y24" t="str">
            <v>05.04.17 Български език</v>
          </cell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 t="str">
            <v>Карастанева</v>
          </cell>
          <cell r="B25" t="str">
            <v>гл. ас.  Ценка Карастанева</v>
          </cell>
          <cell r="C25" t="str">
            <v>гл. ас.</v>
          </cell>
          <cell r="D25"/>
          <cell r="E25" t="str">
            <v>Ценка</v>
          </cell>
          <cell r="F25" t="str">
            <v>Иванова</v>
          </cell>
          <cell r="G25" t="str">
            <v>Карастанева</v>
          </cell>
          <cell r="H25" t="str">
            <v>Катедра по български език</v>
          </cell>
          <cell r="I25" t="str">
            <v>ПУ</v>
          </cell>
          <cell r="J25" t="str">
            <v>NEHAB</v>
          </cell>
          <cell r="K25" t="str">
            <v>NODR</v>
          </cell>
          <cell r="L25" t="str">
            <v>ОТД</v>
          </cell>
          <cell r="M25">
            <v>1956</v>
          </cell>
          <cell r="N25" t="str">
            <v>жена</v>
          </cell>
          <cell r="O25">
            <v>57</v>
          </cell>
          <cell r="P25"/>
          <cell r="Q25"/>
          <cell r="R25"/>
          <cell r="S25"/>
          <cell r="T25"/>
          <cell r="U25"/>
          <cell r="V25"/>
          <cell r="W25"/>
          <cell r="X25"/>
          <cell r="Y25" t="str">
            <v>05.04.17 Български език</v>
          </cell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 t="str">
            <v>Павлова</v>
          </cell>
          <cell r="B26" t="str">
            <v>гл. ас.  Мария Павлова-Кунева</v>
          </cell>
          <cell r="C26" t="str">
            <v>гл. ас.</v>
          </cell>
          <cell r="D26"/>
          <cell r="E26" t="str">
            <v>Мария</v>
          </cell>
          <cell r="F26" t="str">
            <v>Иванова</v>
          </cell>
          <cell r="G26" t="str">
            <v>Павлова-Кунева</v>
          </cell>
          <cell r="H26" t="str">
            <v>Катедра по български език</v>
          </cell>
          <cell r="I26" t="str">
            <v>ПУ</v>
          </cell>
          <cell r="J26" t="str">
            <v>NEHAB</v>
          </cell>
          <cell r="K26" t="str">
            <v>NODR</v>
          </cell>
          <cell r="L26" t="str">
            <v>ОТД</v>
          </cell>
          <cell r="M26">
            <v>1962</v>
          </cell>
          <cell r="N26" t="str">
            <v>жена</v>
          </cell>
          <cell r="O26">
            <v>51</v>
          </cell>
          <cell r="P26"/>
          <cell r="Q26"/>
          <cell r="R26"/>
          <cell r="S26"/>
          <cell r="T26"/>
          <cell r="U26"/>
          <cell r="V26"/>
          <cell r="W26"/>
          <cell r="X26"/>
          <cell r="Y26" t="str">
            <v>05.04.17 Български език</v>
          </cell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 t="str">
            <v>Куршумова</v>
          </cell>
          <cell r="B27" t="str">
            <v>гл. ас.  Мариана Куршумова</v>
          </cell>
          <cell r="C27" t="str">
            <v>гл. ас.</v>
          </cell>
          <cell r="D27"/>
          <cell r="E27" t="str">
            <v>Мариана</v>
          </cell>
          <cell r="F27" t="str">
            <v>Матеева</v>
          </cell>
          <cell r="G27" t="str">
            <v>Куршумова</v>
          </cell>
          <cell r="H27" t="str">
            <v>Катедра по български език</v>
          </cell>
          <cell r="I27" t="str">
            <v>ПУ</v>
          </cell>
          <cell r="J27" t="str">
            <v>NEHAB</v>
          </cell>
          <cell r="K27" t="str">
            <v>NODR</v>
          </cell>
          <cell r="L27" t="str">
            <v>ОТД</v>
          </cell>
          <cell r="M27">
            <v>1961</v>
          </cell>
          <cell r="N27" t="str">
            <v>жена</v>
          </cell>
          <cell r="O27">
            <v>52</v>
          </cell>
          <cell r="P27"/>
          <cell r="Q27"/>
          <cell r="R27"/>
          <cell r="S27"/>
          <cell r="T27"/>
          <cell r="U27"/>
          <cell r="V27"/>
          <cell r="W27"/>
          <cell r="X27"/>
          <cell r="Y27" t="str">
            <v>05.04.17 Български език</v>
          </cell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 t="str">
            <v>Дикова</v>
          </cell>
          <cell r="B28" t="str">
            <v>гл. ас.  Бистра Дикова</v>
          </cell>
          <cell r="C28" t="str">
            <v>гл. ас.</v>
          </cell>
          <cell r="D28"/>
          <cell r="E28" t="str">
            <v>Бистра</v>
          </cell>
          <cell r="F28" t="str">
            <v>Василева</v>
          </cell>
          <cell r="G28" t="str">
            <v>Дикова</v>
          </cell>
          <cell r="H28" t="str">
            <v>Катедра по български език</v>
          </cell>
          <cell r="I28" t="str">
            <v>ПУ</v>
          </cell>
          <cell r="J28" t="str">
            <v>NEHAB</v>
          </cell>
          <cell r="K28" t="str">
            <v>NODR</v>
          </cell>
          <cell r="L28" t="str">
            <v>ОТД</v>
          </cell>
          <cell r="M28">
            <v>1962</v>
          </cell>
          <cell r="N28" t="str">
            <v>жена</v>
          </cell>
          <cell r="O28">
            <v>51</v>
          </cell>
          <cell r="P28"/>
          <cell r="Q28"/>
          <cell r="R28"/>
          <cell r="S28"/>
          <cell r="T28"/>
          <cell r="U28"/>
          <cell r="V28"/>
          <cell r="W28"/>
          <cell r="X28"/>
          <cell r="Y28" t="str">
            <v>05.04.17 Български език</v>
          </cell>
          <cell r="Z28"/>
          <cell r="AA28"/>
          <cell r="AB28"/>
          <cell r="AC28" t="str">
            <v>л.</v>
          </cell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 t="str">
            <v>Чакърова</v>
          </cell>
          <cell r="B29" t="str">
            <v>доц. д-р Красимира Чакърова</v>
          </cell>
          <cell r="C29" t="str">
            <v>доц.</v>
          </cell>
          <cell r="D29" t="str">
            <v>д-р</v>
          </cell>
          <cell r="E29" t="str">
            <v>Красимира</v>
          </cell>
          <cell r="F29" t="str">
            <v>Ангелова</v>
          </cell>
          <cell r="G29" t="str">
            <v>Чакърова</v>
          </cell>
          <cell r="H29" t="str">
            <v>Катедра по български език</v>
          </cell>
          <cell r="I29" t="str">
            <v>ПУ</v>
          </cell>
          <cell r="J29" t="str">
            <v>HAB</v>
          </cell>
          <cell r="K29" t="str">
            <v>DR</v>
          </cell>
          <cell r="L29" t="str">
            <v>ОТД</v>
          </cell>
          <cell r="M29">
            <v>1965</v>
          </cell>
          <cell r="N29" t="str">
            <v>жена</v>
          </cell>
          <cell r="O29">
            <v>48</v>
          </cell>
          <cell r="P29"/>
          <cell r="Q29" t="str">
            <v>05.04.17 Български език</v>
          </cell>
          <cell r="R29"/>
          <cell r="S29"/>
          <cell r="T29"/>
          <cell r="U29"/>
          <cell r="V29"/>
          <cell r="W29" t="str">
            <v>05.04.17 Български език</v>
          </cell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 t="str">
            <v>Гайдарова</v>
          </cell>
          <cell r="B30" t="str">
            <v>гл. ас. д-р Теофана Гайдарова</v>
          </cell>
          <cell r="C30" t="str">
            <v>гл. ас.</v>
          </cell>
          <cell r="D30" t="str">
            <v>д-р</v>
          </cell>
          <cell r="E30" t="str">
            <v>Теофана</v>
          </cell>
          <cell r="F30" t="str">
            <v>Николова</v>
          </cell>
          <cell r="G30" t="str">
            <v>Гайдарова</v>
          </cell>
          <cell r="H30" t="str">
            <v>Катедра по български език</v>
          </cell>
          <cell r="I30" t="str">
            <v>ПУ</v>
          </cell>
          <cell r="J30" t="str">
            <v>NEHAB</v>
          </cell>
          <cell r="K30" t="str">
            <v>DR</v>
          </cell>
          <cell r="L30" t="str">
            <v>ОТД</v>
          </cell>
          <cell r="M30">
            <v>1963</v>
          </cell>
          <cell r="N30" t="str">
            <v>жена</v>
          </cell>
          <cell r="O30">
            <v>50</v>
          </cell>
          <cell r="P30"/>
          <cell r="Q30" t="str">
            <v>05.04.11 Общо и сравнително езикознание</v>
          </cell>
          <cell r="R30"/>
          <cell r="S30"/>
          <cell r="T30"/>
          <cell r="U30"/>
          <cell r="V30"/>
          <cell r="W30"/>
          <cell r="X30"/>
          <cell r="Y30" t="str">
            <v>05.04.11 Общо и сравнително езикознание</v>
          </cell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 t="str">
            <v>ККуцаров</v>
          </cell>
          <cell r="B31" t="str">
            <v>доц. д-р Константин Куцаров</v>
          </cell>
          <cell r="C31" t="str">
            <v>доц.</v>
          </cell>
          <cell r="D31" t="str">
            <v>д-р</v>
          </cell>
          <cell r="E31" t="str">
            <v>Константин</v>
          </cell>
          <cell r="F31" t="str">
            <v>Иванов</v>
          </cell>
          <cell r="G31" t="str">
            <v>Куцаров</v>
          </cell>
          <cell r="H31" t="str">
            <v>Катедра по български език</v>
          </cell>
          <cell r="I31" t="str">
            <v>ПУ</v>
          </cell>
          <cell r="J31" t="str">
            <v>HAB</v>
          </cell>
          <cell r="K31" t="str">
            <v>DR</v>
          </cell>
          <cell r="L31" t="str">
            <v>ОТД</v>
          </cell>
          <cell r="M31">
            <v>1968</v>
          </cell>
          <cell r="N31" t="str">
            <v>мъж</v>
          </cell>
          <cell r="O31">
            <v>45</v>
          </cell>
          <cell r="P31"/>
          <cell r="Q31" t="str">
            <v>05.04.17 Български език</v>
          </cell>
          <cell r="R31"/>
          <cell r="S31"/>
          <cell r="T31"/>
          <cell r="U31"/>
          <cell r="V31"/>
          <cell r="W31" t="str">
            <v>05.04.17 Български език</v>
          </cell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</row>
        <row r="32">
          <cell r="A32"/>
          <cell r="B32" t="str">
            <v>филолог-специалист  Илиана Стайковска</v>
          </cell>
          <cell r="C32" t="str">
            <v>филолог-специалист</v>
          </cell>
          <cell r="D32"/>
          <cell r="E32" t="str">
            <v>Илиана</v>
          </cell>
          <cell r="F32" t="str">
            <v>Тодорова</v>
          </cell>
          <cell r="G32" t="str">
            <v>Стайковска</v>
          </cell>
          <cell r="H32" t="str">
            <v>Катедра по български език</v>
          </cell>
          <cell r="I32" t="str">
            <v>ПУ</v>
          </cell>
          <cell r="J32" t="str">
            <v>NEHAB</v>
          </cell>
          <cell r="K32" t="str">
            <v>NODR</v>
          </cell>
          <cell r="L32" t="str">
            <v>ОТД</v>
          </cell>
          <cell r="M32">
            <v>1963</v>
          </cell>
          <cell r="N32" t="str">
            <v>жена</v>
          </cell>
          <cell r="O32">
            <v>50</v>
          </cell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</row>
        <row r="33">
          <cell r="A33" t="str">
            <v>Георгиева</v>
          </cell>
          <cell r="B33" t="str">
            <v>проф. д-р Стефка Георгиева</v>
          </cell>
          <cell r="C33" t="str">
            <v>проф.</v>
          </cell>
          <cell r="D33" t="str">
            <v>д-р</v>
          </cell>
          <cell r="E33" t="str">
            <v>Стефка</v>
          </cell>
          <cell r="F33" t="str">
            <v>Иванова</v>
          </cell>
          <cell r="G33" t="str">
            <v>Георгиева</v>
          </cell>
          <cell r="H33" t="str">
            <v>Катедра по руска филология</v>
          </cell>
          <cell r="I33" t="str">
            <v>ПУ</v>
          </cell>
          <cell r="J33" t="str">
            <v>HAB</v>
          </cell>
          <cell r="K33" t="str">
            <v>DR</v>
          </cell>
          <cell r="L33" t="str">
            <v>ОТД</v>
          </cell>
          <cell r="M33">
            <v>1945</v>
          </cell>
          <cell r="N33" t="str">
            <v>жена</v>
          </cell>
          <cell r="O33">
            <v>68</v>
          </cell>
          <cell r="P33"/>
          <cell r="Q33" t="str">
            <v>05.04.18 Славянски езици</v>
          </cell>
          <cell r="R33"/>
          <cell r="S33"/>
          <cell r="T33"/>
          <cell r="U33" t="str">
            <v>05.04.18 Славянски езици</v>
          </cell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  <cell r="AN33"/>
          <cell r="AO33"/>
        </row>
        <row r="34">
          <cell r="A34" t="str">
            <v>Нейчев</v>
          </cell>
          <cell r="B34" t="str">
            <v>доц. д-р Николай Нейчев</v>
          </cell>
          <cell r="C34" t="str">
            <v>доц.</v>
          </cell>
          <cell r="D34" t="str">
            <v>д-р</v>
          </cell>
          <cell r="E34" t="str">
            <v>Николай</v>
          </cell>
          <cell r="F34" t="str">
            <v>Михайлов</v>
          </cell>
          <cell r="G34" t="str">
            <v>Нейчев</v>
          </cell>
          <cell r="H34" t="str">
            <v>Катедра по руска филология</v>
          </cell>
          <cell r="I34" t="str">
            <v>ПУ</v>
          </cell>
          <cell r="J34" t="str">
            <v>HAB</v>
          </cell>
          <cell r="K34" t="str">
            <v>DR</v>
          </cell>
          <cell r="L34" t="str">
            <v>ОТД</v>
          </cell>
          <cell r="M34">
            <v>1959</v>
          </cell>
          <cell r="N34" t="str">
            <v>мъж</v>
          </cell>
          <cell r="O34">
            <v>54</v>
          </cell>
          <cell r="P34"/>
          <cell r="Q34" t="str">
            <v>05.04.03 Руска литература и литература на народите на СССР</v>
          </cell>
          <cell r="R34"/>
          <cell r="S34"/>
          <cell r="T34"/>
          <cell r="U34"/>
          <cell r="V34"/>
          <cell r="W34" t="str">
            <v>05.04.03 Руска литература и литература на народите на СССР</v>
          </cell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</row>
        <row r="35">
          <cell r="A35" t="str">
            <v>Чонгарова</v>
          </cell>
          <cell r="B35" t="str">
            <v>доц. д-р Ирина Чонгарова</v>
          </cell>
          <cell r="C35" t="str">
            <v>доц.</v>
          </cell>
          <cell r="D35" t="str">
            <v>д-р</v>
          </cell>
          <cell r="E35" t="str">
            <v>Ирина</v>
          </cell>
          <cell r="F35" t="str">
            <v>Димитрова</v>
          </cell>
          <cell r="G35" t="str">
            <v>Чонгарова</v>
          </cell>
          <cell r="H35" t="str">
            <v>Катедра по руска филология</v>
          </cell>
          <cell r="I35" t="str">
            <v>ПУ</v>
          </cell>
          <cell r="J35" t="str">
            <v>HAB</v>
          </cell>
          <cell r="K35" t="str">
            <v>DR</v>
          </cell>
          <cell r="L35" t="str">
            <v>ОТД</v>
          </cell>
          <cell r="M35">
            <v>1962</v>
          </cell>
          <cell r="N35" t="str">
            <v>жена</v>
          </cell>
          <cell r="O35">
            <v>51</v>
          </cell>
          <cell r="P35"/>
          <cell r="Q35" t="str">
            <v>05.04.18 Славянски езици</v>
          </cell>
          <cell r="R35"/>
          <cell r="S35"/>
          <cell r="T35"/>
          <cell r="U35"/>
          <cell r="V35"/>
          <cell r="W35" t="str">
            <v>05.04.18 Славянски езици</v>
          </cell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</row>
        <row r="36">
          <cell r="A36" t="str">
            <v>юЧакърова</v>
          </cell>
          <cell r="B36" t="str">
            <v>гл. ас. д-р Юлиана Чакърова-Бурлакова</v>
          </cell>
          <cell r="C36" t="str">
            <v>гл. ас.</v>
          </cell>
          <cell r="D36" t="str">
            <v>д-р</v>
          </cell>
          <cell r="E36" t="str">
            <v>Юлиана</v>
          </cell>
          <cell r="F36" t="str">
            <v>Иванова</v>
          </cell>
          <cell r="G36" t="str">
            <v>Чакърова-Бурлакова</v>
          </cell>
          <cell r="H36" t="str">
            <v>Катедра по руска филология</v>
          </cell>
          <cell r="I36" t="str">
            <v>ПУ</v>
          </cell>
          <cell r="J36" t="str">
            <v>NEHAB</v>
          </cell>
          <cell r="K36" t="str">
            <v>DR</v>
          </cell>
          <cell r="L36" t="str">
            <v>ОТД</v>
          </cell>
          <cell r="M36">
            <v>1964</v>
          </cell>
          <cell r="N36" t="str">
            <v>жена</v>
          </cell>
          <cell r="O36">
            <v>49</v>
          </cell>
          <cell r="P36"/>
          <cell r="Q36" t="str">
            <v>05.04.18 Славянски езици</v>
          </cell>
          <cell r="R36"/>
          <cell r="S36"/>
          <cell r="T36"/>
          <cell r="U36"/>
          <cell r="V36"/>
          <cell r="W36"/>
          <cell r="X36"/>
          <cell r="Y36" t="str">
            <v>05.04.18 Славянски езици</v>
          </cell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A37" t="str">
            <v>тошева</v>
          </cell>
          <cell r="B37" t="str">
            <v>гл. ас. д-р Атанаска Тошева</v>
          </cell>
          <cell r="C37" t="str">
            <v>гл. ас.</v>
          </cell>
          <cell r="D37" t="str">
            <v>д-р</v>
          </cell>
          <cell r="E37" t="str">
            <v>Атанаска</v>
          </cell>
          <cell r="F37" t="str">
            <v>Славчева</v>
          </cell>
          <cell r="G37" t="str">
            <v>Тошева</v>
          </cell>
          <cell r="H37" t="str">
            <v>Катедра по руска филология</v>
          </cell>
          <cell r="I37" t="str">
            <v>ПУ</v>
          </cell>
          <cell r="J37" t="str">
            <v>NEHAB</v>
          </cell>
          <cell r="K37" t="str">
            <v>DR</v>
          </cell>
          <cell r="L37" t="str">
            <v>ОТД</v>
          </cell>
          <cell r="M37">
            <v>1959</v>
          </cell>
          <cell r="N37" t="str">
            <v>жена</v>
          </cell>
          <cell r="O37">
            <v>54</v>
          </cell>
          <cell r="P37"/>
          <cell r="Q37" t="str">
            <v>05.04.18 Славянски езици</v>
          </cell>
          <cell r="R37"/>
          <cell r="S37"/>
          <cell r="T37"/>
          <cell r="U37"/>
          <cell r="V37"/>
          <cell r="W37"/>
          <cell r="X37"/>
          <cell r="Y37" t="str">
            <v>05.04.18 Славянски езици</v>
          </cell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</row>
        <row r="38">
          <cell r="A38" t="str">
            <v>Минкова</v>
          </cell>
          <cell r="B38" t="str">
            <v>гл. ас. д-р Людмила Минкова</v>
          </cell>
          <cell r="C38" t="str">
            <v>гл. ас.</v>
          </cell>
          <cell r="D38" t="str">
            <v>д-р</v>
          </cell>
          <cell r="E38" t="str">
            <v>Людмила</v>
          </cell>
          <cell r="F38" t="str">
            <v>Иванова</v>
          </cell>
          <cell r="G38" t="str">
            <v>Минкова</v>
          </cell>
          <cell r="H38" t="str">
            <v>Катедра по руска филология</v>
          </cell>
          <cell r="I38" t="str">
            <v>ПУ</v>
          </cell>
          <cell r="J38" t="str">
            <v>NEHAB</v>
          </cell>
          <cell r="K38" t="str">
            <v>DR</v>
          </cell>
          <cell r="L38" t="str">
            <v>ОТД</v>
          </cell>
          <cell r="M38">
            <v>1961</v>
          </cell>
          <cell r="N38" t="str">
            <v>жена</v>
          </cell>
          <cell r="O38">
            <v>52</v>
          </cell>
          <cell r="P38"/>
          <cell r="Q38" t="str">
            <v>05.04.18 Славянски езици</v>
          </cell>
          <cell r="R38"/>
          <cell r="S38"/>
          <cell r="T38"/>
          <cell r="U38"/>
          <cell r="V38"/>
          <cell r="W38"/>
          <cell r="X38"/>
          <cell r="Y38" t="str">
            <v>05.04.18 Славянски езици</v>
          </cell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</row>
        <row r="39">
          <cell r="A39" t="str">
            <v>Стойкова</v>
          </cell>
          <cell r="B39" t="str">
            <v>гл. ас. д-р Милена Стойкова</v>
          </cell>
          <cell r="C39" t="str">
            <v>гл. ас.</v>
          </cell>
          <cell r="D39" t="str">
            <v>д-р</v>
          </cell>
          <cell r="E39" t="str">
            <v>Милена</v>
          </cell>
          <cell r="F39" t="str">
            <v>Любомирова</v>
          </cell>
          <cell r="G39" t="str">
            <v>Стойкова</v>
          </cell>
          <cell r="H39" t="str">
            <v>Катедра по руска филология</v>
          </cell>
          <cell r="I39" t="str">
            <v>ПУ</v>
          </cell>
          <cell r="J39" t="str">
            <v>NEHAB</v>
          </cell>
          <cell r="K39" t="str">
            <v>DR</v>
          </cell>
          <cell r="L39" t="str">
            <v>ОТД</v>
          </cell>
          <cell r="M39">
            <v>1969</v>
          </cell>
          <cell r="N39" t="str">
            <v>жена</v>
          </cell>
          <cell r="O39">
            <v>44</v>
          </cell>
          <cell r="P39"/>
          <cell r="Q39" t="str">
            <v>05.04.18 Славянски езици</v>
          </cell>
          <cell r="R39"/>
          <cell r="S39"/>
          <cell r="T39"/>
          <cell r="U39"/>
          <cell r="V39"/>
          <cell r="W39"/>
          <cell r="X39"/>
          <cell r="Y39" t="str">
            <v>05.04.18 Славянски езици</v>
          </cell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</row>
        <row r="40">
          <cell r="A40" t="str">
            <v>Христова</v>
          </cell>
          <cell r="B40" t="str">
            <v>гл. ас. д-р Наталия Христова</v>
          </cell>
          <cell r="C40" t="str">
            <v>гл. ас.</v>
          </cell>
          <cell r="D40" t="str">
            <v>д-р</v>
          </cell>
          <cell r="E40" t="str">
            <v>Наталия</v>
          </cell>
          <cell r="F40" t="str">
            <v>Василева</v>
          </cell>
          <cell r="G40" t="str">
            <v>Христова</v>
          </cell>
          <cell r="H40" t="str">
            <v>Катедра по руска филология</v>
          </cell>
          <cell r="I40" t="str">
            <v>ПУ</v>
          </cell>
          <cell r="J40" t="str">
            <v>NEHAB</v>
          </cell>
          <cell r="K40" t="str">
            <v>DR</v>
          </cell>
          <cell r="L40" t="str">
            <v>ОТД</v>
          </cell>
          <cell r="M40">
            <v>1975</v>
          </cell>
          <cell r="N40" t="str">
            <v>жена</v>
          </cell>
          <cell r="O40">
            <v>38</v>
          </cell>
          <cell r="P40"/>
          <cell r="Q40" t="str">
            <v>05.04.16 Теория и практика на превода</v>
          </cell>
          <cell r="R40"/>
          <cell r="S40"/>
          <cell r="T40"/>
          <cell r="U40"/>
          <cell r="V40"/>
          <cell r="W40"/>
          <cell r="X40"/>
          <cell r="Y40" t="str">
            <v>05.04.18 Славянски езици</v>
          </cell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</row>
        <row r="41">
          <cell r="A41" t="str">
            <v>Чернева</v>
          </cell>
          <cell r="B41" t="str">
            <v>гл. ас. д-р Надя Чернева</v>
          </cell>
          <cell r="C41" t="str">
            <v>гл. ас.</v>
          </cell>
          <cell r="D41" t="str">
            <v>д-р</v>
          </cell>
          <cell r="E41" t="str">
            <v>Надя</v>
          </cell>
          <cell r="F41" t="str">
            <v>Петрова</v>
          </cell>
          <cell r="G41" t="str">
            <v>Чернева</v>
          </cell>
          <cell r="H41" t="str">
            <v>Катедра по руска филология</v>
          </cell>
          <cell r="I41" t="str">
            <v>ПУ</v>
          </cell>
          <cell r="J41" t="str">
            <v>NEHAB</v>
          </cell>
          <cell r="K41" t="str">
            <v>DR</v>
          </cell>
          <cell r="L41" t="str">
            <v>ОТД</v>
          </cell>
          <cell r="M41">
            <v>1961</v>
          </cell>
          <cell r="N41" t="str">
            <v>жена</v>
          </cell>
          <cell r="O41">
            <v>52</v>
          </cell>
          <cell r="P41"/>
          <cell r="Q41" t="str">
            <v>05.04.18 Славянски езици</v>
          </cell>
          <cell r="R41"/>
          <cell r="S41"/>
          <cell r="T41"/>
          <cell r="U41"/>
          <cell r="V41"/>
          <cell r="W41"/>
          <cell r="X41"/>
          <cell r="Y41" t="str">
            <v>05.04.18 Славянски езици</v>
          </cell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</row>
        <row r="42">
          <cell r="A42" t="str">
            <v>Кузова</v>
          </cell>
          <cell r="B42" t="str">
            <v>гл. ас. д-р Майя Кузова</v>
          </cell>
          <cell r="C42" t="str">
            <v>гл. ас.</v>
          </cell>
          <cell r="D42" t="str">
            <v>д-р</v>
          </cell>
          <cell r="E42" t="str">
            <v>Майя</v>
          </cell>
          <cell r="F42" t="str">
            <v>Димитрова</v>
          </cell>
          <cell r="G42" t="str">
            <v>Кузова</v>
          </cell>
          <cell r="H42" t="str">
            <v>Катедра по руска филология</v>
          </cell>
          <cell r="I42" t="str">
            <v>ПУ</v>
          </cell>
          <cell r="J42" t="str">
            <v>NEHAB</v>
          </cell>
          <cell r="K42" t="str">
            <v>DR</v>
          </cell>
          <cell r="L42" t="str">
            <v>ОТД</v>
          </cell>
          <cell r="M42">
            <v>1961</v>
          </cell>
          <cell r="N42" t="str">
            <v>жена</v>
          </cell>
          <cell r="O42">
            <v>52</v>
          </cell>
          <cell r="P42"/>
          <cell r="Q42" t="str">
            <v>05.04.18 Славянски езици</v>
          </cell>
          <cell r="R42"/>
          <cell r="S42"/>
          <cell r="T42"/>
          <cell r="U42"/>
          <cell r="V42"/>
          <cell r="W42"/>
          <cell r="X42"/>
          <cell r="Y42" t="str">
            <v>05.04.18 Славянски езици</v>
          </cell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</row>
        <row r="43">
          <cell r="A43" t="str">
            <v>Ганева</v>
          </cell>
          <cell r="B43" t="str">
            <v>гл. ас.  Катя Ганева</v>
          </cell>
          <cell r="C43" t="str">
            <v>гл. ас.</v>
          </cell>
          <cell r="D43"/>
          <cell r="E43" t="str">
            <v>Катя</v>
          </cell>
          <cell r="F43" t="str">
            <v>Георгиева</v>
          </cell>
          <cell r="G43" t="str">
            <v>Ганева</v>
          </cell>
          <cell r="H43" t="str">
            <v>Катедра по руска филология</v>
          </cell>
          <cell r="I43" t="str">
            <v>ПУ</v>
          </cell>
          <cell r="J43" t="str">
            <v>NEHAB</v>
          </cell>
          <cell r="K43" t="str">
            <v>NODR</v>
          </cell>
          <cell r="L43" t="str">
            <v>ОТД</v>
          </cell>
          <cell r="M43">
            <v>1955</v>
          </cell>
          <cell r="N43" t="str">
            <v>жена</v>
          </cell>
          <cell r="O43">
            <v>58</v>
          </cell>
          <cell r="P43"/>
          <cell r="Q43"/>
          <cell r="R43"/>
          <cell r="S43"/>
          <cell r="T43"/>
          <cell r="U43"/>
          <cell r="V43"/>
          <cell r="W43"/>
          <cell r="X43"/>
          <cell r="Y43" t="str">
            <v>05.07.03 Методика на обучението по руски език и литература</v>
          </cell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</row>
        <row r="44">
          <cell r="A44" t="str">
            <v>Кръстева</v>
          </cell>
          <cell r="B44" t="str">
            <v>гл. ас.  Мария Кръстева</v>
          </cell>
          <cell r="C44" t="str">
            <v>гл. ас.</v>
          </cell>
          <cell r="D44"/>
          <cell r="E44" t="str">
            <v>Мария</v>
          </cell>
          <cell r="F44" t="str">
            <v>Веселинова</v>
          </cell>
          <cell r="G44" t="str">
            <v>Кръстева</v>
          </cell>
          <cell r="H44" t="str">
            <v>Катедра по руска филология</v>
          </cell>
          <cell r="I44" t="str">
            <v>ПУ</v>
          </cell>
          <cell r="J44" t="str">
            <v>NEHAB</v>
          </cell>
          <cell r="K44" t="str">
            <v>NODR</v>
          </cell>
          <cell r="L44" t="str">
            <v>ОТД</v>
          </cell>
          <cell r="M44">
            <v>1958</v>
          </cell>
          <cell r="N44" t="str">
            <v>жена</v>
          </cell>
          <cell r="O44">
            <v>55</v>
          </cell>
          <cell r="P44"/>
          <cell r="Q44"/>
          <cell r="R44"/>
          <cell r="S44"/>
          <cell r="T44"/>
          <cell r="U44"/>
          <cell r="V44"/>
          <cell r="W44"/>
          <cell r="X44"/>
          <cell r="Y44" t="str">
            <v>05.04.03 Руска литература и литература на народите на СССР</v>
          </cell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</row>
        <row r="45">
          <cell r="A45" t="str">
            <v>игеоргиева</v>
          </cell>
          <cell r="B45" t="str">
            <v>гл. ас.  Илонка Георгиева</v>
          </cell>
          <cell r="C45" t="str">
            <v>гл. ас.</v>
          </cell>
          <cell r="D45"/>
          <cell r="E45" t="str">
            <v>Илонка</v>
          </cell>
          <cell r="F45" t="str">
            <v>Кирилова</v>
          </cell>
          <cell r="G45" t="str">
            <v>Георгиева</v>
          </cell>
          <cell r="H45" t="str">
            <v>Катедра по руска филология</v>
          </cell>
          <cell r="I45" t="str">
            <v>ПУ</v>
          </cell>
          <cell r="J45" t="str">
            <v>NEHAB</v>
          </cell>
          <cell r="K45" t="str">
            <v>NODR</v>
          </cell>
          <cell r="L45" t="str">
            <v>ОТД</v>
          </cell>
          <cell r="M45">
            <v>1957</v>
          </cell>
          <cell r="N45" t="str">
            <v>жена</v>
          </cell>
          <cell r="O45">
            <v>56</v>
          </cell>
          <cell r="P45"/>
          <cell r="Q45"/>
          <cell r="R45"/>
          <cell r="S45"/>
          <cell r="T45"/>
          <cell r="U45"/>
          <cell r="V45"/>
          <cell r="W45"/>
          <cell r="X45"/>
          <cell r="Y45" t="str">
            <v>05.04.18 Славянски езици</v>
          </cell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</row>
        <row r="46">
          <cell r="A46" t="str">
            <v>Арбова</v>
          </cell>
          <cell r="B46" t="str">
            <v>гл. ас. д-р Кръстина Арбова</v>
          </cell>
          <cell r="C46" t="str">
            <v>гл. ас.</v>
          </cell>
          <cell r="D46" t="str">
            <v>д-р</v>
          </cell>
          <cell r="E46" t="str">
            <v>Кръстина</v>
          </cell>
          <cell r="F46" t="str">
            <v>Йосифова</v>
          </cell>
          <cell r="G46" t="str">
            <v>Арбова</v>
          </cell>
          <cell r="H46" t="str">
            <v>Катедра по руска филология</v>
          </cell>
          <cell r="I46" t="str">
            <v>ПУ</v>
          </cell>
          <cell r="J46" t="str">
            <v>NEHAB</v>
          </cell>
          <cell r="K46" t="str">
            <v>DR</v>
          </cell>
          <cell r="L46" t="str">
            <v>ОТД</v>
          </cell>
          <cell r="M46">
            <v>1963</v>
          </cell>
          <cell r="N46" t="str">
            <v>жена</v>
          </cell>
          <cell r="O46">
            <v>50</v>
          </cell>
          <cell r="P46"/>
          <cell r="Q46" t="str">
            <v>05.04.03 Руска литература и народите на народите на СССР</v>
          </cell>
          <cell r="R46"/>
          <cell r="S46"/>
          <cell r="T46"/>
          <cell r="U46"/>
          <cell r="V46"/>
          <cell r="W46"/>
          <cell r="X46"/>
          <cell r="Y46" t="str">
            <v>05.04.03 Руска литература и литература на народите на СССР</v>
          </cell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</row>
        <row r="47">
          <cell r="A47" t="str">
            <v>Зозикова</v>
          </cell>
          <cell r="B47" t="str">
            <v>гл. ас.  Мария Зозикова-Пенкова</v>
          </cell>
          <cell r="C47" t="str">
            <v>гл. ас.</v>
          </cell>
          <cell r="D47"/>
          <cell r="E47" t="str">
            <v>Мария</v>
          </cell>
          <cell r="F47" t="str">
            <v>Елисеева</v>
          </cell>
          <cell r="G47" t="str">
            <v>Зозикова-Пенкова</v>
          </cell>
          <cell r="H47" t="str">
            <v>Катедра по руска филология</v>
          </cell>
          <cell r="I47" t="str">
            <v>ПУ</v>
          </cell>
          <cell r="J47" t="str">
            <v>NEHAB</v>
          </cell>
          <cell r="K47" t="str">
            <v>NODR</v>
          </cell>
          <cell r="L47" t="str">
            <v>ОТД</v>
          </cell>
          <cell r="M47">
            <v>1953</v>
          </cell>
          <cell r="N47" t="str">
            <v>жена</v>
          </cell>
          <cell r="O47">
            <v>60</v>
          </cell>
          <cell r="P47"/>
          <cell r="Q47" t="str">
            <v>05.04.18 Славянски езици</v>
          </cell>
          <cell r="R47"/>
          <cell r="S47"/>
          <cell r="T47"/>
          <cell r="U47"/>
          <cell r="V47"/>
          <cell r="W47"/>
          <cell r="X47"/>
          <cell r="Y47" t="str">
            <v>05.04.18 Славянски езици</v>
          </cell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</row>
        <row r="48">
          <cell r="A48" t="str">
            <v>Атанасова</v>
          </cell>
          <cell r="B48" t="str">
            <v>гл. ас.  Таня Атанасова</v>
          </cell>
          <cell r="C48" t="str">
            <v>гл. ас.</v>
          </cell>
          <cell r="D48"/>
          <cell r="E48" t="str">
            <v>Таня</v>
          </cell>
          <cell r="F48" t="str">
            <v>Василева</v>
          </cell>
          <cell r="G48" t="str">
            <v>Атанасова</v>
          </cell>
          <cell r="H48" t="str">
            <v>Катедра по руска филология</v>
          </cell>
          <cell r="I48" t="str">
            <v>ПУ</v>
          </cell>
          <cell r="J48" t="str">
            <v>NEHAB</v>
          </cell>
          <cell r="K48" t="str">
            <v>NODR</v>
          </cell>
          <cell r="L48" t="str">
            <v>ОТД</v>
          </cell>
          <cell r="M48">
            <v>1955</v>
          </cell>
          <cell r="N48" t="str">
            <v>жена</v>
          </cell>
          <cell r="O48">
            <v>58</v>
          </cell>
          <cell r="P48"/>
          <cell r="Q48"/>
          <cell r="R48"/>
          <cell r="S48"/>
          <cell r="T48"/>
          <cell r="U48"/>
          <cell r="V48"/>
          <cell r="W48"/>
          <cell r="X48"/>
          <cell r="Y48" t="str">
            <v>05.04.03 Руска литература и литература на народите на СССР</v>
          </cell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/>
          <cell r="AO48"/>
        </row>
        <row r="49">
          <cell r="A49"/>
          <cell r="B49" t="str">
            <v>филолог-специалист  Радка Чобанова-Димова</v>
          </cell>
          <cell r="C49" t="str">
            <v>филолог-специалист</v>
          </cell>
          <cell r="D49"/>
          <cell r="E49" t="str">
            <v>Радка</v>
          </cell>
          <cell r="F49" t="str">
            <v>Атанасова</v>
          </cell>
          <cell r="G49" t="str">
            <v>Чобанова-Димова</v>
          </cell>
          <cell r="H49" t="str">
            <v>Катедра по руска филология</v>
          </cell>
          <cell r="I49" t="str">
            <v>ПУ</v>
          </cell>
          <cell r="J49" t="str">
            <v>NEHAB</v>
          </cell>
          <cell r="K49" t="str">
            <v>NODR</v>
          </cell>
          <cell r="L49" t="str">
            <v>ОТД</v>
          </cell>
          <cell r="M49">
            <v>1960</v>
          </cell>
          <cell r="N49" t="str">
            <v>жена</v>
          </cell>
          <cell r="O49">
            <v>53</v>
          </cell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</row>
        <row r="50">
          <cell r="A50" t="str">
            <v>Пенев</v>
          </cell>
          <cell r="B50" t="str">
            <v>проф. д-р Пеньо Пенев</v>
          </cell>
          <cell r="C50" t="str">
            <v>проф.</v>
          </cell>
          <cell r="D50" t="str">
            <v>д-р</v>
          </cell>
          <cell r="E50" t="str">
            <v>Пеньо</v>
          </cell>
          <cell r="F50" t="str">
            <v>Стойнов</v>
          </cell>
          <cell r="G50" t="str">
            <v>Пенев</v>
          </cell>
          <cell r="H50" t="str">
            <v>Катедра по общо езикознание и история на българския език</v>
          </cell>
          <cell r="I50" t="str">
            <v>ПУ</v>
          </cell>
          <cell r="J50" t="str">
            <v>HAB</v>
          </cell>
          <cell r="K50" t="str">
            <v>DR</v>
          </cell>
          <cell r="L50" t="str">
            <v>ОТД</v>
          </cell>
          <cell r="M50">
            <v>1946</v>
          </cell>
          <cell r="N50" t="str">
            <v>мъж</v>
          </cell>
          <cell r="O50">
            <v>67</v>
          </cell>
          <cell r="P50"/>
          <cell r="Q50" t="str">
            <v>05.04.17 Български език</v>
          </cell>
          <cell r="R50"/>
          <cell r="S50"/>
          <cell r="T50"/>
          <cell r="U50" t="str">
            <v>05.04.17 Български език</v>
          </cell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</row>
        <row r="51">
          <cell r="A51" t="str">
            <v>Чобанов</v>
          </cell>
          <cell r="B51" t="str">
            <v>доц. д-р Иван Чобанов</v>
          </cell>
          <cell r="C51" t="str">
            <v>доц.</v>
          </cell>
          <cell r="D51" t="str">
            <v>д-р</v>
          </cell>
          <cell r="E51" t="str">
            <v>Иван</v>
          </cell>
          <cell r="F51" t="str">
            <v>Петров</v>
          </cell>
          <cell r="G51" t="str">
            <v>Чобанов</v>
          </cell>
          <cell r="H51" t="str">
            <v>Катедра по общо езикознание и история на българския език</v>
          </cell>
          <cell r="I51" t="str">
            <v>ПУ</v>
          </cell>
          <cell r="J51" t="str">
            <v>HAB</v>
          </cell>
          <cell r="K51" t="str">
            <v>DR</v>
          </cell>
          <cell r="L51" t="str">
            <v>ОТД</v>
          </cell>
          <cell r="M51">
            <v>1949</v>
          </cell>
          <cell r="N51" t="str">
            <v>мъж</v>
          </cell>
          <cell r="O51">
            <v>64</v>
          </cell>
          <cell r="P51"/>
          <cell r="Q51" t="str">
            <v>05.04.18 Славянски езици</v>
          </cell>
          <cell r="R51"/>
          <cell r="S51"/>
          <cell r="T51"/>
          <cell r="U51"/>
          <cell r="V51"/>
          <cell r="W51" t="str">
            <v>05.04.11 Общо и сравнително езикознание</v>
          </cell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  <cell r="AO51"/>
        </row>
        <row r="52">
          <cell r="A52" t="str">
            <v>Козарова</v>
          </cell>
          <cell r="B52" t="str">
            <v>доц. д-р Станка Козарова</v>
          </cell>
          <cell r="C52" t="str">
            <v>доц.</v>
          </cell>
          <cell r="D52" t="str">
            <v>д-р</v>
          </cell>
          <cell r="E52" t="str">
            <v>Станка</v>
          </cell>
          <cell r="F52" t="str">
            <v>Желязкова</v>
          </cell>
          <cell r="G52" t="str">
            <v>Козарова</v>
          </cell>
          <cell r="H52" t="str">
            <v>Катедра по общо езикознание и история на българския език</v>
          </cell>
          <cell r="I52" t="str">
            <v>ПУ</v>
          </cell>
          <cell r="J52" t="str">
            <v>HAB</v>
          </cell>
          <cell r="K52" t="str">
            <v>DR</v>
          </cell>
          <cell r="L52" t="str">
            <v>ОТД</v>
          </cell>
          <cell r="M52">
            <v>1959</v>
          </cell>
          <cell r="N52" t="str">
            <v>жена</v>
          </cell>
          <cell r="O52">
            <v>54</v>
          </cell>
          <cell r="P52"/>
          <cell r="Q52" t="str">
            <v>05.04.11 Общо и сравнително езикознание</v>
          </cell>
          <cell r="R52"/>
          <cell r="S52"/>
          <cell r="T52"/>
          <cell r="U52"/>
          <cell r="V52"/>
          <cell r="W52" t="str">
            <v>05.04.22 Класически езици</v>
          </cell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</row>
        <row r="53">
          <cell r="A53" t="str">
            <v>Тончева</v>
          </cell>
          <cell r="B53" t="str">
            <v>доц. д-р Христина Тончева</v>
          </cell>
          <cell r="C53" t="str">
            <v>доц.</v>
          </cell>
          <cell r="D53" t="str">
            <v>д-р</v>
          </cell>
          <cell r="E53" t="str">
            <v>Христина</v>
          </cell>
          <cell r="F53" t="str">
            <v>Милева</v>
          </cell>
          <cell r="G53" t="str">
            <v>Тончева</v>
          </cell>
          <cell r="H53" t="str">
            <v>Катедра по общо езикознание и история на българския език</v>
          </cell>
          <cell r="I53" t="str">
            <v>ПУ</v>
          </cell>
          <cell r="J53" t="str">
            <v>HAB</v>
          </cell>
          <cell r="K53" t="str">
            <v>DR</v>
          </cell>
          <cell r="L53" t="str">
            <v>ОТД</v>
          </cell>
          <cell r="M53">
            <v>1968</v>
          </cell>
          <cell r="N53" t="str">
            <v>жена</v>
          </cell>
          <cell r="O53">
            <v>45</v>
          </cell>
          <cell r="P53"/>
          <cell r="Q53" t="str">
            <v>05.04.17 Български език</v>
          </cell>
          <cell r="R53"/>
          <cell r="S53"/>
          <cell r="T53"/>
          <cell r="U53"/>
          <cell r="V53"/>
          <cell r="W53" t="str">
            <v>05.04.17 Български език</v>
          </cell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</row>
        <row r="54">
          <cell r="A54" t="str">
            <v>Джельова</v>
          </cell>
          <cell r="B54" t="str">
            <v>гл. ас.  Антоанета Джельова</v>
          </cell>
          <cell r="C54" t="str">
            <v>гл. ас.</v>
          </cell>
          <cell r="D54"/>
          <cell r="E54" t="str">
            <v>Антоанета</v>
          </cell>
          <cell r="F54" t="str">
            <v>Стефанова</v>
          </cell>
          <cell r="G54" t="str">
            <v>Джельова</v>
          </cell>
          <cell r="H54" t="str">
            <v>Катедра по общо езикознание и история на българския език</v>
          </cell>
          <cell r="I54" t="str">
            <v>ПУ</v>
          </cell>
          <cell r="J54" t="str">
            <v>NEHAB</v>
          </cell>
          <cell r="K54" t="str">
            <v>NODR</v>
          </cell>
          <cell r="L54" t="str">
            <v>ОТД</v>
          </cell>
          <cell r="M54">
            <v>1959</v>
          </cell>
          <cell r="N54" t="str">
            <v>жена</v>
          </cell>
          <cell r="O54">
            <v>54</v>
          </cell>
          <cell r="P54"/>
          <cell r="Q54"/>
          <cell r="R54"/>
          <cell r="S54"/>
          <cell r="T54"/>
          <cell r="U54"/>
          <cell r="V54"/>
          <cell r="W54"/>
          <cell r="X54"/>
          <cell r="Y54" t="str">
            <v>05.04.17 Български език</v>
          </cell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</row>
        <row r="55">
          <cell r="A55" t="str">
            <v>Янков</v>
          </cell>
          <cell r="B55" t="str">
            <v>гл. ас.  Лъчезар Янков</v>
          </cell>
          <cell r="C55" t="str">
            <v>гл. ас.</v>
          </cell>
          <cell r="D55"/>
          <cell r="E55" t="str">
            <v>Лъчезар</v>
          </cell>
          <cell r="F55" t="str">
            <v>Михайлов</v>
          </cell>
          <cell r="G55" t="str">
            <v>Янков</v>
          </cell>
          <cell r="H55" t="str">
            <v>Катедра по общо езикознание и история на българския език</v>
          </cell>
          <cell r="I55" t="str">
            <v>ПУ</v>
          </cell>
          <cell r="J55" t="str">
            <v>NEHAB</v>
          </cell>
          <cell r="K55" t="str">
            <v>NODR</v>
          </cell>
          <cell r="L55" t="str">
            <v>ОТД</v>
          </cell>
          <cell r="M55">
            <v>1955</v>
          </cell>
          <cell r="N55" t="str">
            <v>мъж</v>
          </cell>
          <cell r="O55">
            <v>58</v>
          </cell>
          <cell r="P55"/>
          <cell r="Q55"/>
          <cell r="R55"/>
          <cell r="S55"/>
          <cell r="T55"/>
          <cell r="U55"/>
          <cell r="V55"/>
          <cell r="W55"/>
          <cell r="X55"/>
          <cell r="Y55" t="str">
            <v>05.04.11 Общо и сравнително езикознание</v>
          </cell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</row>
        <row r="56">
          <cell r="A56" t="str">
            <v>Вълчанова</v>
          </cell>
          <cell r="B56" t="str">
            <v>гл. ас.  Събина Вълчанова</v>
          </cell>
          <cell r="C56" t="str">
            <v>гл. ас.</v>
          </cell>
          <cell r="D56"/>
          <cell r="E56" t="str">
            <v>Събина</v>
          </cell>
          <cell r="F56" t="str">
            <v>Авелова</v>
          </cell>
          <cell r="G56" t="str">
            <v>Вълчанова</v>
          </cell>
          <cell r="H56" t="str">
            <v>Катедра по общо езикознание и история на българския език</v>
          </cell>
          <cell r="I56" t="str">
            <v>ПУ</v>
          </cell>
          <cell r="J56" t="str">
            <v>NEHAB</v>
          </cell>
          <cell r="K56" t="str">
            <v>NODR</v>
          </cell>
          <cell r="L56" t="str">
            <v>ОТД</v>
          </cell>
          <cell r="M56">
            <v>1967</v>
          </cell>
          <cell r="N56" t="str">
            <v>жена</v>
          </cell>
          <cell r="O56">
            <v>46</v>
          </cell>
          <cell r="P56"/>
          <cell r="Q56"/>
          <cell r="R56"/>
          <cell r="S56"/>
          <cell r="T56"/>
          <cell r="U56"/>
          <cell r="V56"/>
          <cell r="W56"/>
          <cell r="X56"/>
          <cell r="Y56" t="str">
            <v>05.04.17 Български език</v>
          </cell>
          <cell r="Z56"/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</row>
        <row r="57">
          <cell r="A57" t="str">
            <v>Брусева</v>
          </cell>
          <cell r="B57" t="str">
            <v>гл. ас.  Галина Брусева</v>
          </cell>
          <cell r="C57" t="str">
            <v>гл. ас.</v>
          </cell>
          <cell r="D57"/>
          <cell r="E57" t="str">
            <v>Галина</v>
          </cell>
          <cell r="F57" t="str">
            <v>Ангелова</v>
          </cell>
          <cell r="G57" t="str">
            <v>Брусева</v>
          </cell>
          <cell r="H57" t="str">
            <v>Катедра по общо езикознание и история на българския език</v>
          </cell>
          <cell r="I57" t="str">
            <v>ПУ</v>
          </cell>
          <cell r="J57" t="str">
            <v>NEHAB</v>
          </cell>
          <cell r="K57" t="str">
            <v>NODR</v>
          </cell>
          <cell r="L57" t="str">
            <v>ОТД</v>
          </cell>
          <cell r="M57">
            <v>1978</v>
          </cell>
          <cell r="N57" t="str">
            <v>жена</v>
          </cell>
          <cell r="O57">
            <v>35</v>
          </cell>
          <cell r="P57"/>
          <cell r="Q57"/>
          <cell r="R57"/>
          <cell r="S57"/>
          <cell r="T57"/>
          <cell r="U57"/>
          <cell r="V57"/>
          <cell r="W57"/>
          <cell r="X57"/>
          <cell r="Y57" t="str">
            <v>05.04.11 Общо и сравнително езикознание</v>
          </cell>
          <cell r="Z57"/>
          <cell r="AA57"/>
          <cell r="AB57"/>
          <cell r="AC57"/>
          <cell r="AD57"/>
          <cell r="AE57"/>
          <cell r="AF57"/>
          <cell r="AG57"/>
          <cell r="AH57"/>
          <cell r="AI57"/>
          <cell r="AJ57"/>
          <cell r="AK57"/>
          <cell r="AL57"/>
          <cell r="AM57"/>
          <cell r="AN57"/>
          <cell r="AO57"/>
        </row>
        <row r="58">
          <cell r="A58" t="str">
            <v>Симонова</v>
          </cell>
          <cell r="B58" t="str">
            <v>гл. ас.  Величка Симонова-Гроздева</v>
          </cell>
          <cell r="C58" t="str">
            <v>гл. ас.</v>
          </cell>
          <cell r="D58"/>
          <cell r="E58" t="str">
            <v>Величка</v>
          </cell>
          <cell r="F58" t="str">
            <v>Петкова</v>
          </cell>
          <cell r="G58" t="str">
            <v>Симонова-Гроздева</v>
          </cell>
          <cell r="H58" t="str">
            <v>Катедра по общо езикознание и история на българския език</v>
          </cell>
          <cell r="I58" t="str">
            <v>ПУ</v>
          </cell>
          <cell r="J58" t="str">
            <v>NEHAB</v>
          </cell>
          <cell r="K58" t="str">
            <v>NODR</v>
          </cell>
          <cell r="L58" t="str">
            <v>ОТД</v>
          </cell>
          <cell r="M58">
            <v>1973</v>
          </cell>
          <cell r="N58" t="str">
            <v>жена</v>
          </cell>
          <cell r="O58">
            <v>40</v>
          </cell>
          <cell r="P58"/>
          <cell r="Q58"/>
          <cell r="R58"/>
          <cell r="S58"/>
          <cell r="T58"/>
          <cell r="U58"/>
          <cell r="V58"/>
          <cell r="W58"/>
          <cell r="X58"/>
          <cell r="Y58" t="str">
            <v>05.04.11 Общо и сравнително езикознание</v>
          </cell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</row>
        <row r="59">
          <cell r="A59" t="str">
            <v>кукунджиева</v>
          </cell>
          <cell r="B59" t="str">
            <v>ас.  Ина Кукунджиева</v>
          </cell>
          <cell r="C59" t="str">
            <v>ас.</v>
          </cell>
          <cell r="D59"/>
          <cell r="E59" t="str">
            <v>Ина</v>
          </cell>
          <cell r="F59" t="str">
            <v>Здравкова</v>
          </cell>
          <cell r="G59" t="str">
            <v>Кукунджиева</v>
          </cell>
          <cell r="H59" t="str">
            <v>Катедра по общо езикознание и история на българския език</v>
          </cell>
          <cell r="I59" t="str">
            <v>ПУ</v>
          </cell>
          <cell r="J59" t="str">
            <v>NEHAB</v>
          </cell>
          <cell r="K59" t="str">
            <v>NODR</v>
          </cell>
          <cell r="L59" t="str">
            <v>ОТД</v>
          </cell>
          <cell r="M59">
            <v>1984</v>
          </cell>
          <cell r="N59" t="str">
            <v>жена</v>
          </cell>
          <cell r="O59">
            <v>29</v>
          </cell>
          <cell r="P59"/>
          <cell r="Q59"/>
          <cell r="R59"/>
          <cell r="S59"/>
          <cell r="T59"/>
          <cell r="U59"/>
          <cell r="V59"/>
          <cell r="W59"/>
          <cell r="X59"/>
          <cell r="Y59" t="str">
            <v>05.04.11 Общо и сравнително езикознание</v>
          </cell>
          <cell r="Z59"/>
          <cell r="AA59"/>
          <cell r="AB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</row>
        <row r="60">
          <cell r="A60" t="str">
            <v>герпеткова</v>
          </cell>
          <cell r="B60" t="str">
            <v>ас.  Гергана Петкова</v>
          </cell>
          <cell r="C60" t="str">
            <v>ас.</v>
          </cell>
          <cell r="D60"/>
          <cell r="E60" t="str">
            <v>Гергана</v>
          </cell>
          <cell r="F60" t="str">
            <v>Атанасова</v>
          </cell>
          <cell r="G60" t="str">
            <v>Петкова</v>
          </cell>
          <cell r="H60" t="str">
            <v>Катедра по общо езикознание и история на българския език</v>
          </cell>
          <cell r="I60" t="str">
            <v>ПУ</v>
          </cell>
          <cell r="J60" t="str">
            <v>NEHAB</v>
          </cell>
          <cell r="K60" t="str">
            <v>NODR</v>
          </cell>
          <cell r="L60" t="str">
            <v>ОТД</v>
          </cell>
          <cell r="M60">
            <v>1982</v>
          </cell>
          <cell r="N60" t="str">
            <v>жена</v>
          </cell>
          <cell r="O60">
            <v>31</v>
          </cell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 t="str">
            <v>05.04.22 Класически езици</v>
          </cell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</row>
        <row r="61">
          <cell r="A61" t="str">
            <v>харун</v>
          </cell>
          <cell r="B61" t="str">
            <v>ас.  Харун Бекир</v>
          </cell>
          <cell r="C61" t="str">
            <v>ас.</v>
          </cell>
          <cell r="D61"/>
          <cell r="E61" t="str">
            <v>Харун</v>
          </cell>
          <cell r="F61" t="str">
            <v>Харун</v>
          </cell>
          <cell r="G61" t="str">
            <v>Бекир</v>
          </cell>
          <cell r="H61" t="str">
            <v>Катедра по общо езикознание и история на българския език</v>
          </cell>
          <cell r="I61" t="str">
            <v>ПУ</v>
          </cell>
          <cell r="J61" t="str">
            <v>NEHAB</v>
          </cell>
          <cell r="K61" t="str">
            <v>NODR</v>
          </cell>
          <cell r="L61" t="str">
            <v>ОТД</v>
          </cell>
          <cell r="M61">
            <v>1972</v>
          </cell>
          <cell r="N61" t="str">
            <v>жена</v>
          </cell>
          <cell r="O61">
            <v>41</v>
          </cell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 t="str">
            <v>05.04.23 Ирански езици, семитско-хамитски езици, тюркси, монголски езици, угро-фински езици</v>
          </cell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</row>
        <row r="62">
          <cell r="A62" t="str">
            <v>Кемалова</v>
          </cell>
          <cell r="B62" t="str">
            <v>гл. ас. д-р Ани Кемалова</v>
          </cell>
          <cell r="C62" t="str">
            <v>гл. ас.</v>
          </cell>
          <cell r="D62" t="str">
            <v>д-р</v>
          </cell>
          <cell r="E62" t="str">
            <v>Ани</v>
          </cell>
          <cell r="F62" t="str">
            <v>Иванова</v>
          </cell>
          <cell r="G62" t="str">
            <v>Кемалова</v>
          </cell>
          <cell r="H62" t="str">
            <v>Катедра по общо езикознание и история на българския език</v>
          </cell>
          <cell r="I62" t="str">
            <v>ПУ</v>
          </cell>
          <cell r="J62" t="str">
            <v>NEHAB</v>
          </cell>
          <cell r="K62" t="str">
            <v>DR</v>
          </cell>
          <cell r="L62" t="str">
            <v>ОТД</v>
          </cell>
          <cell r="M62">
            <v>1969</v>
          </cell>
          <cell r="N62" t="str">
            <v>жена</v>
          </cell>
          <cell r="O62">
            <v>44</v>
          </cell>
          <cell r="P62"/>
          <cell r="Q62" t="str">
            <v>05.04.17 Български език</v>
          </cell>
          <cell r="R62"/>
          <cell r="S62"/>
          <cell r="T62"/>
          <cell r="U62"/>
          <cell r="V62"/>
          <cell r="W62"/>
          <cell r="X62"/>
          <cell r="Y62" t="str">
            <v>05.04.17 Български език</v>
          </cell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</row>
        <row r="63">
          <cell r="A63" t="str">
            <v>бянев</v>
          </cell>
          <cell r="B63" t="str">
            <v>гл. ас. д-р Борян Янев</v>
          </cell>
          <cell r="C63" t="str">
            <v>гл. ас.</v>
          </cell>
          <cell r="D63" t="str">
            <v>д-р</v>
          </cell>
          <cell r="E63" t="str">
            <v>Борян</v>
          </cell>
          <cell r="F63" t="str">
            <v>Георгиев</v>
          </cell>
          <cell r="G63" t="str">
            <v>Янев</v>
          </cell>
          <cell r="H63" t="str">
            <v>Катедра по общо езикознание и история на българския език</v>
          </cell>
          <cell r="I63" t="str">
            <v>ПУ</v>
          </cell>
          <cell r="J63" t="str">
            <v>NEHAB</v>
          </cell>
          <cell r="K63" t="str">
            <v>DR</v>
          </cell>
          <cell r="L63" t="str">
            <v>ОТД</v>
          </cell>
          <cell r="M63">
            <v>1979</v>
          </cell>
          <cell r="N63" t="str">
            <v>мъж</v>
          </cell>
          <cell r="O63">
            <v>34</v>
          </cell>
          <cell r="P63"/>
          <cell r="Q63" t="str">
            <v>05.04.11 Общо и сравнително езикознание</v>
          </cell>
          <cell r="R63"/>
          <cell r="S63"/>
          <cell r="T63"/>
          <cell r="U63"/>
          <cell r="V63"/>
          <cell r="W63"/>
          <cell r="X63"/>
          <cell r="Y63" t="str">
            <v>05.04.11 Общо и сравнително езикознание</v>
          </cell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</row>
        <row r="64">
          <cell r="A64"/>
          <cell r="B64" t="str">
            <v>филолог-специалист  Мария Зайкова</v>
          </cell>
          <cell r="C64" t="str">
            <v>филолог-специалист</v>
          </cell>
          <cell r="D64"/>
          <cell r="E64" t="str">
            <v>Мария</v>
          </cell>
          <cell r="F64" t="str">
            <v>Петкова</v>
          </cell>
          <cell r="G64" t="str">
            <v>Зайкова</v>
          </cell>
          <cell r="H64" t="str">
            <v>Катедра по общо езикознание и история на българския език</v>
          </cell>
          <cell r="I64" t="str">
            <v>ПУ</v>
          </cell>
          <cell r="J64" t="str">
            <v>NEHAB</v>
          </cell>
          <cell r="K64" t="str">
            <v>NODR</v>
          </cell>
          <cell r="L64" t="str">
            <v>ОТД</v>
          </cell>
          <cell r="M64">
            <v>1960</v>
          </cell>
          <cell r="N64" t="str">
            <v>жена</v>
          </cell>
          <cell r="O64">
            <v>53</v>
          </cell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</row>
        <row r="65">
          <cell r="A65"/>
          <cell r="B65" t="str">
            <v>филолог-специалист  Марта Перчева</v>
          </cell>
          <cell r="C65" t="str">
            <v>филолог-специалист</v>
          </cell>
          <cell r="D65"/>
          <cell r="E65" t="str">
            <v>Марта</v>
          </cell>
          <cell r="F65" t="str">
            <v>Любенова</v>
          </cell>
          <cell r="G65" t="str">
            <v>Перчева</v>
          </cell>
          <cell r="H65" t="str">
            <v>Катедра по общо езикознание и история на българския език</v>
          </cell>
          <cell r="I65" t="str">
            <v>ПУ</v>
          </cell>
          <cell r="J65" t="str">
            <v>NEHAB</v>
          </cell>
          <cell r="K65" t="str">
            <v>NODR</v>
          </cell>
          <cell r="L65" t="str">
            <v>ОТД</v>
          </cell>
          <cell r="M65">
            <v>1950</v>
          </cell>
          <cell r="N65" t="str">
            <v>жена</v>
          </cell>
          <cell r="O65">
            <v>63</v>
          </cell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 t="str">
            <v>05.04.23 Ирански езици, семистко-хамитски езици, тюркски, монголски езици, угро-фински езици</v>
          </cell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  <cell r="AN65"/>
          <cell r="AO65"/>
        </row>
        <row r="66">
          <cell r="A66" t="str">
            <v>Чолакова</v>
          </cell>
          <cell r="B66" t="str">
            <v>доц. д-р Жоржета Чолакова</v>
          </cell>
          <cell r="C66" t="str">
            <v>доц.</v>
          </cell>
          <cell r="D66" t="str">
            <v>д-р</v>
          </cell>
          <cell r="E66" t="str">
            <v>Жоржета</v>
          </cell>
          <cell r="F66" t="str">
            <v>Петрова</v>
          </cell>
          <cell r="G66" t="str">
            <v>Чолакова</v>
          </cell>
          <cell r="H66" t="str">
            <v>Катедра по славянски филологии</v>
          </cell>
          <cell r="I66" t="str">
            <v>ПУ</v>
          </cell>
          <cell r="J66" t="str">
            <v>HAB</v>
          </cell>
          <cell r="K66" t="str">
            <v>DR</v>
          </cell>
          <cell r="L66" t="str">
            <v>ОТД</v>
          </cell>
          <cell r="M66">
            <v>1959</v>
          </cell>
          <cell r="N66" t="str">
            <v>жена</v>
          </cell>
          <cell r="O66">
            <v>54</v>
          </cell>
          <cell r="Q66" t="str">
            <v>05.04.06 Литература на народите на Европа, Америка, Африка, Азия и Австралия</v>
          </cell>
          <cell r="W66" t="str">
            <v>05.04.06 Литература на народите на Европа, Америка, Африка, Азия и Австралия</v>
          </cell>
        </row>
        <row r="67">
          <cell r="A67" t="str">
            <v>игов</v>
          </cell>
          <cell r="B67" t="str">
            <v>проф. дфн Светлозар Игов</v>
          </cell>
          <cell r="C67" t="str">
            <v>проф.</v>
          </cell>
          <cell r="D67" t="str">
            <v>дфн</v>
          </cell>
          <cell r="E67" t="str">
            <v>Светлозар</v>
          </cell>
          <cell r="F67" t="str">
            <v>Атанасов</v>
          </cell>
          <cell r="G67" t="str">
            <v>Игов</v>
          </cell>
          <cell r="H67" t="str">
            <v>Катедра по славянски филологии</v>
          </cell>
          <cell r="I67" t="str">
            <v>ПУ</v>
          </cell>
          <cell r="J67" t="str">
            <v>HAB</v>
          </cell>
          <cell r="K67" t="str">
            <v>DR</v>
          </cell>
          <cell r="L67" t="str">
            <v>ОТД</v>
          </cell>
          <cell r="M67">
            <v>1945</v>
          </cell>
          <cell r="N67" t="str">
            <v>мъж</v>
          </cell>
          <cell r="O67">
            <v>68</v>
          </cell>
          <cell r="P67"/>
          <cell r="Q67" t="str">
            <v>05.04.02 Българска литература</v>
          </cell>
          <cell r="R67"/>
          <cell r="S67"/>
          <cell r="T67"/>
          <cell r="U67" t="str">
            <v>05.04.02 Българска литература</v>
          </cell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</row>
        <row r="68">
          <cell r="A68" t="str">
            <v>Дончева</v>
          </cell>
          <cell r="B68" t="str">
            <v>доц. д-р Дарина Дончева</v>
          </cell>
          <cell r="C68" t="str">
            <v>доц.</v>
          </cell>
          <cell r="D68" t="str">
            <v>д-р</v>
          </cell>
          <cell r="E68" t="str">
            <v>Дарина</v>
          </cell>
          <cell r="F68" t="str">
            <v>Дончева</v>
          </cell>
          <cell r="G68" t="str">
            <v>Дончева</v>
          </cell>
          <cell r="H68" t="str">
            <v>Катедра по славянски филологии</v>
          </cell>
          <cell r="I68" t="str">
            <v>ПУ</v>
          </cell>
          <cell r="J68" t="str">
            <v>HAB</v>
          </cell>
          <cell r="K68" t="str">
            <v>DR</v>
          </cell>
          <cell r="L68" t="str">
            <v>ОТД</v>
          </cell>
          <cell r="M68">
            <v>1956</v>
          </cell>
          <cell r="N68" t="str">
            <v>жена</v>
          </cell>
          <cell r="O68">
            <v>57</v>
          </cell>
          <cell r="Q68" t="str">
            <v>05.04.06 Литература на народите на Европа, Америка, Африка, Азия и Австралия</v>
          </cell>
          <cell r="W68" t="str">
            <v>05.04.06 Литература на народите на Европа, Америка, Африка, Азия и Австралия</v>
          </cell>
        </row>
        <row r="69">
          <cell r="A69" t="str">
            <v>Гугулан</v>
          </cell>
          <cell r="B69" t="str">
            <v>проф. дфн Иванка Гугуланова</v>
          </cell>
          <cell r="C69" t="str">
            <v>проф.</v>
          </cell>
          <cell r="D69" t="str">
            <v>дфн</v>
          </cell>
          <cell r="E69" t="str">
            <v>Иванка</v>
          </cell>
          <cell r="F69" t="str">
            <v>Тодорова</v>
          </cell>
          <cell r="G69" t="str">
            <v>Гугуланова</v>
          </cell>
          <cell r="H69" t="str">
            <v>Катедра по славянски филологии</v>
          </cell>
          <cell r="I69" t="str">
            <v>ПУ</v>
          </cell>
          <cell r="J69" t="str">
            <v>HAB</v>
          </cell>
          <cell r="K69" t="str">
            <v>DR</v>
          </cell>
          <cell r="L69" t="str">
            <v>ОТД</v>
          </cell>
          <cell r="M69">
            <v>1942</v>
          </cell>
          <cell r="N69" t="str">
            <v>жена</v>
          </cell>
          <cell r="O69">
            <v>68</v>
          </cell>
          <cell r="S69" t="str">
            <v>05.04.18 Славянски езици</v>
          </cell>
          <cell r="U69" t="str">
            <v>05.04.18 Славянски езици</v>
          </cell>
        </row>
        <row r="70">
          <cell r="A70" t="str">
            <v>Величкова</v>
          </cell>
          <cell r="B70" t="str">
            <v>доц. д-р Славка Величкова-Железчева</v>
          </cell>
          <cell r="C70" t="str">
            <v>доц.</v>
          </cell>
          <cell r="D70" t="str">
            <v>д-р</v>
          </cell>
          <cell r="E70" t="str">
            <v>Славка</v>
          </cell>
          <cell r="F70" t="str">
            <v>Трайкова</v>
          </cell>
          <cell r="G70" t="str">
            <v>Величкова-Железчева</v>
          </cell>
          <cell r="H70" t="str">
            <v>Катедра по славянски филологии</v>
          </cell>
          <cell r="I70" t="str">
            <v>ПУ</v>
          </cell>
          <cell r="J70" t="str">
            <v>HAB</v>
          </cell>
          <cell r="K70" t="str">
            <v>DR</v>
          </cell>
          <cell r="L70" t="str">
            <v>ОТД</v>
          </cell>
          <cell r="M70">
            <v>1946</v>
          </cell>
          <cell r="N70" t="str">
            <v>жена</v>
          </cell>
          <cell r="O70">
            <v>67</v>
          </cell>
          <cell r="Q70" t="str">
            <v>05.04.18 Славянски езици</v>
          </cell>
          <cell r="W70" t="str">
            <v>05.04.18 Славянски езици</v>
          </cell>
        </row>
        <row r="71">
          <cell r="A71" t="str">
            <v>Бакърджиева</v>
          </cell>
          <cell r="B71" t="str">
            <v>гл. ас. д-р Гинка Бакърджиева</v>
          </cell>
          <cell r="C71" t="str">
            <v>гл. ас.</v>
          </cell>
          <cell r="D71" t="str">
            <v>д-р</v>
          </cell>
          <cell r="E71" t="str">
            <v>Гинка</v>
          </cell>
          <cell r="F71" t="str">
            <v>Александрова</v>
          </cell>
          <cell r="G71" t="str">
            <v>Бакърджиева</v>
          </cell>
          <cell r="H71" t="str">
            <v>Катедра по славянски филологии</v>
          </cell>
          <cell r="I71" t="str">
            <v>ПУ</v>
          </cell>
          <cell r="J71" t="str">
            <v>NEHAB</v>
          </cell>
          <cell r="K71" t="str">
            <v>DR</v>
          </cell>
          <cell r="L71" t="str">
            <v>ОТД</v>
          </cell>
          <cell r="M71">
            <v>1963</v>
          </cell>
          <cell r="N71" t="str">
            <v>жена</v>
          </cell>
          <cell r="O71">
            <v>50</v>
          </cell>
          <cell r="Q71" t="str">
            <v>05.04.18 Славянски езици</v>
          </cell>
          <cell r="Y71" t="str">
            <v>05.04.18 Славянски езици</v>
          </cell>
        </row>
        <row r="72">
          <cell r="A72" t="str">
            <v>ливанова</v>
          </cell>
          <cell r="B72" t="str">
            <v>гл. ас. д-р Лилия Иванова</v>
          </cell>
          <cell r="C72" t="str">
            <v>гл. ас.</v>
          </cell>
          <cell r="D72" t="str">
            <v>д-р</v>
          </cell>
          <cell r="E72" t="str">
            <v>Лилия</v>
          </cell>
          <cell r="F72" t="str">
            <v>Драгомирова</v>
          </cell>
          <cell r="G72" t="str">
            <v>Иванова</v>
          </cell>
          <cell r="H72" t="str">
            <v>Катедра по славянски филологии</v>
          </cell>
          <cell r="I72" t="str">
            <v>ПУ</v>
          </cell>
          <cell r="J72" t="str">
            <v>NEHAB</v>
          </cell>
          <cell r="K72" t="str">
            <v>DR</v>
          </cell>
          <cell r="L72" t="str">
            <v>ОТД</v>
          </cell>
          <cell r="M72">
            <v>1979</v>
          </cell>
          <cell r="N72" t="str">
            <v>жена</v>
          </cell>
          <cell r="O72">
            <v>34</v>
          </cell>
          <cell r="Q72" t="str">
            <v>05.04.18 Славянски езици</v>
          </cell>
          <cell r="Y72" t="str">
            <v>05.04.18 Славянски езици</v>
          </cell>
        </row>
        <row r="73">
          <cell r="A73" t="str">
            <v>Томова</v>
          </cell>
          <cell r="B73" t="str">
            <v>гл. ас.  Катерина Томова</v>
          </cell>
          <cell r="C73" t="str">
            <v>гл. ас.</v>
          </cell>
          <cell r="D73"/>
          <cell r="E73" t="str">
            <v>Катерина</v>
          </cell>
          <cell r="F73" t="str">
            <v>Иванова</v>
          </cell>
          <cell r="G73" t="str">
            <v>Томова</v>
          </cell>
          <cell r="H73" t="str">
            <v>Катедра по славянски филологии</v>
          </cell>
          <cell r="I73" t="str">
            <v>ПУ</v>
          </cell>
          <cell r="J73" t="str">
            <v>NEHAB</v>
          </cell>
          <cell r="K73" t="str">
            <v>NODR</v>
          </cell>
          <cell r="L73" t="str">
            <v>ОТД</v>
          </cell>
          <cell r="M73">
            <v>1967</v>
          </cell>
          <cell r="N73" t="str">
            <v>жена</v>
          </cell>
          <cell r="O73">
            <v>46</v>
          </cell>
          <cell r="Y73" t="str">
            <v>05.04.18 Славянски езици</v>
          </cell>
        </row>
        <row r="74">
          <cell r="A74" t="str">
            <v>ГИванова</v>
          </cell>
          <cell r="B74" t="str">
            <v>гл. ас.  Гергана Иванова-Вълева</v>
          </cell>
          <cell r="C74" t="str">
            <v>гл. ас.</v>
          </cell>
          <cell r="D74"/>
          <cell r="E74" t="str">
            <v>Гергана</v>
          </cell>
          <cell r="F74" t="str">
            <v>Тодорова</v>
          </cell>
          <cell r="G74" t="str">
            <v>Иванова-Вълева</v>
          </cell>
          <cell r="H74" t="str">
            <v>Катедра по славянски филологии</v>
          </cell>
          <cell r="I74" t="str">
            <v>ПУ</v>
          </cell>
          <cell r="J74" t="str">
            <v>NEHAB</v>
          </cell>
          <cell r="K74" t="str">
            <v>NODR</v>
          </cell>
          <cell r="L74" t="str">
            <v>ОТД</v>
          </cell>
          <cell r="M74">
            <v>1962</v>
          </cell>
          <cell r="N74" t="str">
            <v>жена</v>
          </cell>
          <cell r="O74">
            <v>51</v>
          </cell>
          <cell r="Y74" t="str">
            <v>05.04.18 Славянски езици</v>
          </cell>
        </row>
        <row r="75">
          <cell r="A75" t="str">
            <v>ВНайденова</v>
          </cell>
          <cell r="B75" t="str">
            <v>гл. ас.  Вяра Найденова</v>
          </cell>
          <cell r="C75" t="str">
            <v>гл. ас.</v>
          </cell>
          <cell r="D75"/>
          <cell r="E75" t="str">
            <v>Вяра</v>
          </cell>
          <cell r="F75" t="str">
            <v>Александрова</v>
          </cell>
          <cell r="G75" t="str">
            <v>Найденова</v>
          </cell>
          <cell r="H75" t="str">
            <v>Катедра по славянски филологии</v>
          </cell>
          <cell r="I75" t="str">
            <v>ПУ</v>
          </cell>
          <cell r="J75" t="str">
            <v>NEHAB</v>
          </cell>
          <cell r="K75" t="str">
            <v>NODR</v>
          </cell>
          <cell r="L75" t="str">
            <v>ОТД</v>
          </cell>
          <cell r="M75">
            <v>1963</v>
          </cell>
          <cell r="N75" t="str">
            <v>жена</v>
          </cell>
          <cell r="O75">
            <v>50</v>
          </cell>
          <cell r="Y75" t="str">
            <v>05.04.18 Славянски езици</v>
          </cell>
        </row>
        <row r="76">
          <cell r="A76" t="str">
            <v>МИванова</v>
          </cell>
          <cell r="B76" t="str">
            <v>гл. ас.  Мария Иванова</v>
          </cell>
          <cell r="C76" t="str">
            <v>гл. ас.</v>
          </cell>
          <cell r="D76"/>
          <cell r="E76" t="str">
            <v>Мария</v>
          </cell>
          <cell r="F76" t="str">
            <v>Ковалска</v>
          </cell>
          <cell r="G76" t="str">
            <v>Иванова</v>
          </cell>
          <cell r="H76" t="str">
            <v>Катедра по славянски филологии</v>
          </cell>
          <cell r="I76" t="str">
            <v>ПУ</v>
          </cell>
          <cell r="J76" t="str">
            <v>NEHAB</v>
          </cell>
          <cell r="K76" t="str">
            <v>NODR</v>
          </cell>
          <cell r="L76" t="str">
            <v>ОТД</v>
          </cell>
          <cell r="M76">
            <v>1952</v>
          </cell>
          <cell r="N76" t="str">
            <v>жена</v>
          </cell>
          <cell r="O76">
            <v>61</v>
          </cell>
          <cell r="Y76" t="str">
            <v>05.04.18 Славянски езици</v>
          </cell>
        </row>
        <row r="77">
          <cell r="A77" t="str">
            <v>ББорисов</v>
          </cell>
          <cell r="B77" t="str">
            <v>гл. ас. д-р Борислав Борисов</v>
          </cell>
          <cell r="C77" t="str">
            <v>гл. ас.</v>
          </cell>
          <cell r="D77" t="str">
            <v>д-р</v>
          </cell>
          <cell r="E77" t="str">
            <v>Борислав</v>
          </cell>
          <cell r="F77" t="str">
            <v>Славов</v>
          </cell>
          <cell r="G77" t="str">
            <v>Борисов</v>
          </cell>
          <cell r="H77" t="str">
            <v>Катедра по славянски филологии</v>
          </cell>
          <cell r="I77" t="str">
            <v>ПУ</v>
          </cell>
          <cell r="J77" t="str">
            <v>NEHAB</v>
          </cell>
          <cell r="K77" t="str">
            <v>DR</v>
          </cell>
          <cell r="L77" t="str">
            <v>ОТД</v>
          </cell>
          <cell r="M77">
            <v>1976</v>
          </cell>
          <cell r="N77" t="str">
            <v>мъж</v>
          </cell>
          <cell r="O77">
            <v>37</v>
          </cell>
          <cell r="Q77" t="str">
            <v>05.04.18 Славянски езици</v>
          </cell>
          <cell r="Y77" t="str">
            <v>05.04.18 Славянски езици</v>
          </cell>
        </row>
        <row r="78">
          <cell r="A78" t="str">
            <v>Маджарова</v>
          </cell>
          <cell r="B78" t="str">
            <v>гл. ас. д-р Таня Маджарова</v>
          </cell>
          <cell r="C78" t="str">
            <v>гл. ас.</v>
          </cell>
          <cell r="D78" t="str">
            <v>д-р</v>
          </cell>
          <cell r="E78" t="str">
            <v>Таня</v>
          </cell>
          <cell r="F78" t="str">
            <v>Янкова</v>
          </cell>
          <cell r="G78" t="str">
            <v>Маджарова</v>
          </cell>
          <cell r="H78" t="str">
            <v>Катедра по славянски филологии</v>
          </cell>
          <cell r="I78" t="str">
            <v>ПУ</v>
          </cell>
          <cell r="J78" t="str">
            <v>NEHAB</v>
          </cell>
          <cell r="K78" t="str">
            <v>DR</v>
          </cell>
          <cell r="L78" t="str">
            <v>ОТД</v>
          </cell>
          <cell r="M78">
            <v>1968</v>
          </cell>
          <cell r="N78" t="str">
            <v>жена</v>
          </cell>
          <cell r="O78">
            <v>45</v>
          </cell>
          <cell r="Q78" t="str">
            <v>05.04.06 Литература на народите на Европа, Америка, Африка, Азия и Австралия</v>
          </cell>
          <cell r="Y78" t="str">
            <v>05.04.06 Литература на народите на Европа, Америка, Африка, Азия и Австралия</v>
          </cell>
        </row>
        <row r="79">
          <cell r="A79" t="str">
            <v>Костадинова</v>
          </cell>
          <cell r="B79" t="str">
            <v>гл. ас.  Димитрина Костадинова</v>
          </cell>
          <cell r="C79" t="str">
            <v>гл. ас.</v>
          </cell>
          <cell r="D79"/>
          <cell r="E79" t="str">
            <v>Димитрина</v>
          </cell>
          <cell r="F79" t="str">
            <v>Георгиева</v>
          </cell>
          <cell r="G79" t="str">
            <v>Костадинова</v>
          </cell>
          <cell r="H79" t="str">
            <v>Катедра по славянски филологии</v>
          </cell>
          <cell r="I79" t="str">
            <v>ПУ</v>
          </cell>
          <cell r="J79" t="str">
            <v>NEHAB</v>
          </cell>
          <cell r="K79" t="str">
            <v>NODR</v>
          </cell>
          <cell r="L79" t="str">
            <v>ОТД</v>
          </cell>
          <cell r="M79">
            <v>1962</v>
          </cell>
          <cell r="N79" t="str">
            <v>жена</v>
          </cell>
          <cell r="O79">
            <v>51</v>
          </cell>
          <cell r="AA79" t="str">
            <v>05.0418 Славянски езици</v>
          </cell>
        </row>
        <row r="80">
          <cell r="A80" t="str">
            <v>жемба</v>
          </cell>
          <cell r="B80" t="str">
            <v>ас.  Агниешка Жемба</v>
          </cell>
          <cell r="C80" t="str">
            <v>ас.</v>
          </cell>
          <cell r="D80"/>
          <cell r="E80" t="str">
            <v>Агниешка</v>
          </cell>
          <cell r="F80"/>
          <cell r="G80" t="str">
            <v>Жемба</v>
          </cell>
          <cell r="H80" t="str">
            <v>Катедра по славянски филологии</v>
          </cell>
          <cell r="I80" t="str">
            <v>ПУ</v>
          </cell>
          <cell r="J80" t="str">
            <v>NEHAB</v>
          </cell>
          <cell r="K80" t="str">
            <v>NODR</v>
          </cell>
          <cell r="L80" t="str">
            <v>ОТД</v>
          </cell>
          <cell r="M80">
            <v>1982</v>
          </cell>
          <cell r="N80" t="str">
            <v>жена</v>
          </cell>
          <cell r="O80">
            <v>31</v>
          </cell>
          <cell r="AA80" t="str">
            <v>05.04.18 Славянски езици</v>
          </cell>
        </row>
        <row r="81">
          <cell r="A81" t="str">
            <v>дарка</v>
          </cell>
          <cell r="B81" t="str">
            <v>ас.  Дарка Хербез</v>
          </cell>
          <cell r="C81" t="str">
            <v>ас.</v>
          </cell>
          <cell r="D81"/>
          <cell r="E81" t="str">
            <v>Дарка</v>
          </cell>
          <cell r="F81"/>
          <cell r="G81" t="str">
            <v>Хербез</v>
          </cell>
          <cell r="H81" t="str">
            <v>Катедра по славянски филологии</v>
          </cell>
          <cell r="I81" t="str">
            <v>ПУ</v>
          </cell>
          <cell r="J81" t="str">
            <v>NEHAB</v>
          </cell>
          <cell r="K81" t="str">
            <v>NODR</v>
          </cell>
          <cell r="L81" t="str">
            <v>ОТД</v>
          </cell>
          <cell r="M81">
            <v>1984</v>
          </cell>
          <cell r="N81" t="str">
            <v>жена</v>
          </cell>
          <cell r="O81">
            <v>29</v>
          </cell>
          <cell r="AA81" t="str">
            <v>05.04.18 Славянски езици</v>
          </cell>
        </row>
        <row r="82">
          <cell r="A82" t="str">
            <v>мустакова</v>
          </cell>
          <cell r="B82" t="str">
            <v>ас.  Мария Мустаковова</v>
          </cell>
          <cell r="C82" t="str">
            <v>ас.</v>
          </cell>
          <cell r="D82"/>
          <cell r="E82" t="str">
            <v>Мария</v>
          </cell>
          <cell r="F82" t="str">
            <v>Колевова</v>
          </cell>
          <cell r="G82" t="str">
            <v>Мустаковова</v>
          </cell>
          <cell r="H82" t="str">
            <v>Катедра по славянски филологии</v>
          </cell>
          <cell r="I82" t="str">
            <v>ПУ</v>
          </cell>
          <cell r="J82" t="str">
            <v>NEHAB</v>
          </cell>
          <cell r="K82" t="str">
            <v>NODR</v>
          </cell>
          <cell r="L82" t="str">
            <v>ОТД</v>
          </cell>
          <cell r="M82">
            <v>1967</v>
          </cell>
          <cell r="N82" t="str">
            <v>жена</v>
          </cell>
          <cell r="O82">
            <v>46</v>
          </cell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 t="str">
            <v>05.04.18 Славянски езици</v>
          </cell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</row>
        <row r="83">
          <cell r="A83"/>
          <cell r="B83" t="str">
            <v>секретар  Светла Попчева</v>
          </cell>
          <cell r="C83" t="str">
            <v>секретар</v>
          </cell>
          <cell r="D83"/>
          <cell r="E83" t="str">
            <v>Светла</v>
          </cell>
          <cell r="F83" t="str">
            <v>Божанова</v>
          </cell>
          <cell r="G83" t="str">
            <v>Попчева</v>
          </cell>
          <cell r="H83" t="str">
            <v>Катедра по славянски филологии</v>
          </cell>
          <cell r="I83" t="str">
            <v>ПУ</v>
          </cell>
          <cell r="J83" t="str">
            <v>NEHAB</v>
          </cell>
          <cell r="K83" t="str">
            <v>NODR</v>
          </cell>
          <cell r="L83" t="str">
            <v>ОТД</v>
          </cell>
          <cell r="M83">
            <v>1956</v>
          </cell>
          <cell r="N83" t="str">
            <v>жена</v>
          </cell>
          <cell r="O83">
            <v>57</v>
          </cell>
        </row>
        <row r="84">
          <cell r="A84" t="str">
            <v>Дженкинс</v>
          </cell>
          <cell r="B84" t="str">
            <v>доц. д-р Дейвид Дженкинс</v>
          </cell>
          <cell r="C84" t="str">
            <v>доц.</v>
          </cell>
          <cell r="D84" t="str">
            <v>д-р</v>
          </cell>
          <cell r="E84" t="str">
            <v>Дейвид</v>
          </cell>
          <cell r="F84" t="str">
            <v>Брус</v>
          </cell>
          <cell r="G84" t="str">
            <v>Дженкинс</v>
          </cell>
          <cell r="H84" t="str">
            <v>Катедра по английска филология</v>
          </cell>
          <cell r="I84" t="str">
            <v>ПУ</v>
          </cell>
          <cell r="J84" t="str">
            <v>HAB</v>
          </cell>
          <cell r="K84" t="str">
            <v>DR</v>
          </cell>
          <cell r="L84" t="str">
            <v>ОТД</v>
          </cell>
          <cell r="M84">
            <v>1947</v>
          </cell>
          <cell r="N84" t="str">
            <v>мъж</v>
          </cell>
          <cell r="O84">
            <v>66</v>
          </cell>
          <cell r="P84"/>
          <cell r="Q84" t="str">
            <v>05.04.03 Руска литература и литература на народите на СССР</v>
          </cell>
          <cell r="R84"/>
          <cell r="S84"/>
          <cell r="T84"/>
          <cell r="U84"/>
          <cell r="V84"/>
          <cell r="W84" t="str">
            <v>05.04.06 Литература на народите на Европа, Америка, Африка, Азия и Австралия</v>
          </cell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</row>
        <row r="85">
          <cell r="A85" t="str">
            <v>МГрънчаров</v>
          </cell>
          <cell r="B85" t="str">
            <v>доц. д-р Михаил Грънчаров</v>
          </cell>
          <cell r="C85" t="str">
            <v>доц.</v>
          </cell>
          <cell r="D85" t="str">
            <v>д-р</v>
          </cell>
          <cell r="E85" t="str">
            <v>Михаил</v>
          </cell>
          <cell r="F85" t="str">
            <v>Страшимиров</v>
          </cell>
          <cell r="G85" t="str">
            <v>Грънчаров</v>
          </cell>
          <cell r="H85" t="str">
            <v>Катедра по английска филология</v>
          </cell>
          <cell r="I85" t="str">
            <v>ПУ</v>
          </cell>
          <cell r="J85" t="str">
            <v>HAB</v>
          </cell>
          <cell r="K85" t="str">
            <v>DR</v>
          </cell>
          <cell r="L85" t="str">
            <v>ОТД</v>
          </cell>
          <cell r="M85">
            <v>1946</v>
          </cell>
          <cell r="N85" t="str">
            <v>мъж</v>
          </cell>
          <cell r="O85">
            <v>67</v>
          </cell>
          <cell r="P85"/>
          <cell r="Q85"/>
          <cell r="R85"/>
          <cell r="S85"/>
          <cell r="T85"/>
          <cell r="U85"/>
          <cell r="V85"/>
          <cell r="W85" t="str">
            <v>05.04.20 Германски езици</v>
          </cell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</row>
        <row r="86">
          <cell r="A86" t="str">
            <v>Червенкова</v>
          </cell>
          <cell r="B86" t="str">
            <v>гл. ас.  Златка Червенкова</v>
          </cell>
          <cell r="C86" t="str">
            <v>гл. ас.</v>
          </cell>
          <cell r="D86"/>
          <cell r="E86" t="str">
            <v>Златка</v>
          </cell>
          <cell r="F86" t="str">
            <v>Василева</v>
          </cell>
          <cell r="G86" t="str">
            <v>Червенкова</v>
          </cell>
          <cell r="H86" t="str">
            <v>Катедра по английска филология</v>
          </cell>
          <cell r="I86" t="str">
            <v>ПУ</v>
          </cell>
          <cell r="J86" t="str">
            <v>NEHAB</v>
          </cell>
          <cell r="K86" t="str">
            <v>NODR</v>
          </cell>
          <cell r="L86" t="str">
            <v>ОТД</v>
          </cell>
          <cell r="M86">
            <v>1964</v>
          </cell>
          <cell r="N86" t="str">
            <v>жена</v>
          </cell>
          <cell r="O86">
            <v>49</v>
          </cell>
          <cell r="P86"/>
          <cell r="Q86"/>
          <cell r="R86"/>
          <cell r="S86"/>
          <cell r="T86"/>
          <cell r="U86"/>
          <cell r="V86"/>
          <cell r="W86"/>
          <cell r="X86"/>
          <cell r="Y86" t="str">
            <v>05.04.06 Литература на народите на европа, Америка, Африка, Азия и Австралия</v>
          </cell>
          <cell r="Z86"/>
          <cell r="AA86"/>
          <cell r="AB86"/>
          <cell r="AC86"/>
          <cell r="AD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</row>
        <row r="87">
          <cell r="A87" t="str">
            <v>Павлов</v>
          </cell>
          <cell r="B87" t="str">
            <v>гл. ас.  Сашко Павлов</v>
          </cell>
          <cell r="C87" t="str">
            <v>гл. ас.</v>
          </cell>
          <cell r="D87"/>
          <cell r="E87" t="str">
            <v>Сашко</v>
          </cell>
          <cell r="F87" t="str">
            <v>Ангелов</v>
          </cell>
          <cell r="G87" t="str">
            <v>Павлов</v>
          </cell>
          <cell r="H87" t="str">
            <v>Катедра по английска филология</v>
          </cell>
          <cell r="I87" t="str">
            <v>ПУ</v>
          </cell>
          <cell r="J87" t="str">
            <v>NEHAB</v>
          </cell>
          <cell r="K87" t="str">
            <v>NODR</v>
          </cell>
          <cell r="L87" t="str">
            <v>ОТД</v>
          </cell>
          <cell r="M87">
            <v>1950</v>
          </cell>
          <cell r="N87" t="str">
            <v>мъж</v>
          </cell>
          <cell r="O87">
            <v>63</v>
          </cell>
          <cell r="P87"/>
          <cell r="Q87"/>
          <cell r="R87"/>
          <cell r="S87"/>
          <cell r="T87"/>
          <cell r="U87"/>
          <cell r="V87"/>
          <cell r="W87"/>
          <cell r="X87"/>
          <cell r="Y87" t="str">
            <v>05.04.20 Германски езици</v>
          </cell>
          <cell r="Z87"/>
          <cell r="AA87"/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</row>
        <row r="88">
          <cell r="A88" t="str">
            <v>Самалиева</v>
          </cell>
          <cell r="B88" t="str">
            <v>гл. ас. д-р Марина Самалиева</v>
          </cell>
          <cell r="C88" t="str">
            <v>гл. ас.</v>
          </cell>
          <cell r="D88" t="str">
            <v>д-р</v>
          </cell>
          <cell r="E88" t="str">
            <v>Марина</v>
          </cell>
          <cell r="F88" t="str">
            <v>Асенова</v>
          </cell>
          <cell r="G88" t="str">
            <v>Самалиева</v>
          </cell>
          <cell r="H88" t="str">
            <v>Катедра по английска филология</v>
          </cell>
          <cell r="I88" t="str">
            <v>ПУ</v>
          </cell>
          <cell r="J88" t="str">
            <v>NEHAB</v>
          </cell>
          <cell r="K88" t="str">
            <v>DR</v>
          </cell>
          <cell r="L88" t="str">
            <v>ОТД</v>
          </cell>
          <cell r="M88">
            <v>1960</v>
          </cell>
          <cell r="N88" t="str">
            <v>жена</v>
          </cell>
          <cell r="O88">
            <v>53</v>
          </cell>
          <cell r="P88"/>
          <cell r="Q88" t="str">
            <v>05.07.03 Методика на обучението по английски език и литература</v>
          </cell>
          <cell r="R88"/>
          <cell r="S88"/>
          <cell r="T88"/>
          <cell r="U88"/>
          <cell r="V88"/>
          <cell r="W88"/>
          <cell r="X88"/>
          <cell r="Y88" t="str">
            <v>05.04.20 Германски езици</v>
          </cell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</row>
        <row r="89">
          <cell r="A89" t="str">
            <v>Койнакова</v>
          </cell>
          <cell r="B89" t="str">
            <v>гл. ас.  Веселина Койнакова</v>
          </cell>
          <cell r="C89" t="str">
            <v>гл. ас.</v>
          </cell>
          <cell r="D89"/>
          <cell r="E89" t="str">
            <v>Веселина</v>
          </cell>
          <cell r="F89" t="str">
            <v>Борисова</v>
          </cell>
          <cell r="G89" t="str">
            <v>Койнакова</v>
          </cell>
          <cell r="H89" t="str">
            <v>Катедра по английска филология</v>
          </cell>
          <cell r="I89" t="str">
            <v>ПУ</v>
          </cell>
          <cell r="J89" t="str">
            <v>NEHAB</v>
          </cell>
          <cell r="K89" t="str">
            <v>NODR</v>
          </cell>
          <cell r="L89" t="str">
            <v>ОТД</v>
          </cell>
          <cell r="M89">
            <v>1962</v>
          </cell>
          <cell r="N89" t="str">
            <v>жена</v>
          </cell>
          <cell r="O89">
            <v>51</v>
          </cell>
          <cell r="P89"/>
          <cell r="Q89"/>
          <cell r="R89"/>
          <cell r="S89"/>
          <cell r="T89"/>
          <cell r="U89"/>
          <cell r="V89"/>
          <cell r="W89"/>
          <cell r="X89"/>
          <cell r="Y89" t="str">
            <v>05.04.20 Германски езици</v>
          </cell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</row>
        <row r="90">
          <cell r="A90" t="str">
            <v>Костурков</v>
          </cell>
          <cell r="B90" t="str">
            <v>доц. д-р Йордан Костурков</v>
          </cell>
          <cell r="C90" t="str">
            <v>доц.</v>
          </cell>
          <cell r="D90" t="str">
            <v>д-р</v>
          </cell>
          <cell r="E90" t="str">
            <v>Йордан</v>
          </cell>
          <cell r="F90" t="str">
            <v>Йорданов</v>
          </cell>
          <cell r="G90" t="str">
            <v>Костурков</v>
          </cell>
          <cell r="H90" t="str">
            <v>Катедра по английска филология</v>
          </cell>
          <cell r="I90" t="str">
            <v>ПУ</v>
          </cell>
          <cell r="J90" t="str">
            <v>HAB</v>
          </cell>
          <cell r="K90" t="str">
            <v>DR</v>
          </cell>
          <cell r="L90" t="str">
            <v>ОТД</v>
          </cell>
          <cell r="M90">
            <v>1948</v>
          </cell>
          <cell r="N90" t="str">
            <v>мъж</v>
          </cell>
          <cell r="O90">
            <v>65</v>
          </cell>
          <cell r="P90"/>
          <cell r="Q90" t="str">
            <v>05.04.06 Литература на народите на Европа, Америка, Африка, Азия и Австралия</v>
          </cell>
          <cell r="R90"/>
          <cell r="S90"/>
          <cell r="T90"/>
          <cell r="U90"/>
          <cell r="V90"/>
          <cell r="W90" t="str">
            <v>05.04.06 Литература на народите на Европа, Америка, Африка, Азия и Австралия</v>
          </cell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</row>
        <row r="91">
          <cell r="A91" t="str">
            <v>Манчоров</v>
          </cell>
          <cell r="B91" t="str">
            <v>гл. ас. д-р Атанас Манчоров</v>
          </cell>
          <cell r="C91" t="str">
            <v>гл. ас.</v>
          </cell>
          <cell r="D91" t="str">
            <v>д-р</v>
          </cell>
          <cell r="E91" t="str">
            <v>Атанас</v>
          </cell>
          <cell r="F91" t="str">
            <v>Спасов</v>
          </cell>
          <cell r="G91" t="str">
            <v>Манчоров</v>
          </cell>
          <cell r="H91" t="str">
            <v>Катедра по английска филология</v>
          </cell>
          <cell r="I91" t="str">
            <v>ПУ</v>
          </cell>
          <cell r="J91" t="str">
            <v>NEHAB</v>
          </cell>
          <cell r="K91" t="str">
            <v>DR</v>
          </cell>
          <cell r="L91" t="str">
            <v>ОТД</v>
          </cell>
          <cell r="M91">
            <v>1966</v>
          </cell>
          <cell r="N91" t="str">
            <v>жена</v>
          </cell>
          <cell r="O91">
            <v>47</v>
          </cell>
          <cell r="P91"/>
          <cell r="Q91" t="str">
            <v>05.04.06 Литература на народите на Европа, Америка, Африка, Азия и Австралия</v>
          </cell>
          <cell r="R91"/>
          <cell r="S91"/>
          <cell r="T91"/>
          <cell r="U91"/>
          <cell r="V91"/>
          <cell r="W91"/>
          <cell r="X91"/>
          <cell r="Y91" t="str">
            <v>05.04.06 Литература на народите на Европа, Америка, Африка, Азия и Австралия</v>
          </cell>
          <cell r="Z91"/>
          <cell r="AA91"/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</row>
        <row r="92">
          <cell r="A92" t="str">
            <v>ВКостадинова</v>
          </cell>
          <cell r="B92" t="str">
            <v>гл. ас. д-р Витана Костадинова</v>
          </cell>
          <cell r="C92" t="str">
            <v>гл. ас.</v>
          </cell>
          <cell r="D92" t="str">
            <v>д-р</v>
          </cell>
          <cell r="E92" t="str">
            <v>Витана</v>
          </cell>
          <cell r="F92" t="str">
            <v>Василева</v>
          </cell>
          <cell r="G92" t="str">
            <v>Костадинова</v>
          </cell>
          <cell r="H92" t="str">
            <v>Катедра по английска филология</v>
          </cell>
          <cell r="I92" t="str">
            <v>ПУ</v>
          </cell>
          <cell r="J92" t="str">
            <v>NEHAB</v>
          </cell>
          <cell r="K92" t="str">
            <v>DR</v>
          </cell>
          <cell r="L92" t="str">
            <v>ОТД</v>
          </cell>
          <cell r="M92">
            <v>1970</v>
          </cell>
          <cell r="N92" t="str">
            <v>жена</v>
          </cell>
          <cell r="O92">
            <v>43</v>
          </cell>
          <cell r="P92"/>
          <cell r="Q92" t="str">
            <v>05.04.06 Литература на народите на Европа, Америка, Африка, Азия и Австралия</v>
          </cell>
          <cell r="R92"/>
          <cell r="S92"/>
          <cell r="T92"/>
          <cell r="U92"/>
          <cell r="V92"/>
          <cell r="W92"/>
          <cell r="X92"/>
          <cell r="Y92" t="str">
            <v>05.04.06 Литература на народите на Европа, Америка, Африка, Азия и Австралия</v>
          </cell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</row>
        <row r="93">
          <cell r="A93" t="str">
            <v>матюсън</v>
          </cell>
          <cell r="B93" t="str">
            <v>гл. ас. д-р Снежа Цонева-Матюсън</v>
          </cell>
          <cell r="C93" t="str">
            <v>гл. ас.</v>
          </cell>
          <cell r="D93" t="str">
            <v>д-р</v>
          </cell>
          <cell r="E93" t="str">
            <v>Снежа</v>
          </cell>
          <cell r="F93" t="str">
            <v>Тодорова</v>
          </cell>
          <cell r="G93" t="str">
            <v>Цонева-Матюсън</v>
          </cell>
          <cell r="H93" t="str">
            <v>Катедра по английска филология</v>
          </cell>
          <cell r="I93" t="str">
            <v>ПУ</v>
          </cell>
          <cell r="J93" t="str">
            <v>NEHAB</v>
          </cell>
          <cell r="K93" t="str">
            <v>DR</v>
          </cell>
          <cell r="L93" t="str">
            <v>ОТД</v>
          </cell>
          <cell r="M93">
            <v>1958</v>
          </cell>
          <cell r="N93" t="str">
            <v>жена</v>
          </cell>
          <cell r="O93">
            <v>55</v>
          </cell>
          <cell r="P93"/>
          <cell r="Q93" t="str">
            <v>05.04.20 Германски езици</v>
          </cell>
          <cell r="R93"/>
          <cell r="S93"/>
          <cell r="T93"/>
          <cell r="U93"/>
          <cell r="V93"/>
          <cell r="W93"/>
          <cell r="X93"/>
          <cell r="Y93" t="str">
            <v>05.04.20 Германски езици</v>
          </cell>
          <cell r="Z93"/>
          <cell r="AA93"/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</row>
        <row r="94">
          <cell r="A94" t="str">
            <v>Пашова</v>
          </cell>
          <cell r="B94" t="str">
            <v>гл. ас.  Росица Пашова</v>
          </cell>
          <cell r="C94" t="str">
            <v>гл. ас.</v>
          </cell>
          <cell r="D94"/>
          <cell r="E94" t="str">
            <v>Росица</v>
          </cell>
          <cell r="F94" t="str">
            <v>Костадинова</v>
          </cell>
          <cell r="G94" t="str">
            <v>Пашова</v>
          </cell>
          <cell r="H94" t="str">
            <v>Катедра по английска филология</v>
          </cell>
          <cell r="I94" t="str">
            <v>ПУ</v>
          </cell>
          <cell r="J94" t="str">
            <v>NEHAB</v>
          </cell>
          <cell r="K94" t="str">
            <v>NODR</v>
          </cell>
          <cell r="L94" t="str">
            <v>ОТД</v>
          </cell>
          <cell r="M94">
            <v>1956</v>
          </cell>
          <cell r="N94" t="str">
            <v>жена</v>
          </cell>
          <cell r="O94">
            <v>57</v>
          </cell>
          <cell r="P94"/>
          <cell r="Q94"/>
          <cell r="R94"/>
          <cell r="S94"/>
          <cell r="T94"/>
          <cell r="U94"/>
          <cell r="V94"/>
          <cell r="W94"/>
          <cell r="X94"/>
          <cell r="Y94" t="str">
            <v>05.04.20 Германски езици</v>
          </cell>
          <cell r="Z94"/>
          <cell r="AA94"/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</row>
        <row r="95">
          <cell r="A95" t="str">
            <v>Кацарска</v>
          </cell>
          <cell r="B95" t="str">
            <v>гл. ас.  Милена Кацарска</v>
          </cell>
          <cell r="C95" t="str">
            <v>гл. ас.</v>
          </cell>
          <cell r="D95"/>
          <cell r="E95" t="str">
            <v>Милена</v>
          </cell>
          <cell r="F95" t="str">
            <v>Ангелова</v>
          </cell>
          <cell r="G95" t="str">
            <v>Кацарска</v>
          </cell>
          <cell r="H95" t="str">
            <v>Катедра по английска филология</v>
          </cell>
          <cell r="I95" t="str">
            <v>ПУ</v>
          </cell>
          <cell r="J95" t="str">
            <v>NEHAB</v>
          </cell>
          <cell r="K95" t="str">
            <v>NODR</v>
          </cell>
          <cell r="L95" t="str">
            <v>ОТД</v>
          </cell>
          <cell r="M95">
            <v>1970</v>
          </cell>
          <cell r="N95" t="str">
            <v>жена</v>
          </cell>
          <cell r="O95">
            <v>43</v>
          </cell>
          <cell r="P95"/>
          <cell r="Q95"/>
          <cell r="R95"/>
          <cell r="S95"/>
          <cell r="T95"/>
          <cell r="U95"/>
          <cell r="V95"/>
          <cell r="W95"/>
          <cell r="X95"/>
          <cell r="Y95" t="str">
            <v>05.04.20 Германски езици</v>
          </cell>
          <cell r="Z95"/>
          <cell r="AA95"/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</row>
        <row r="96">
          <cell r="A96" t="str">
            <v>Грънчарова</v>
          </cell>
          <cell r="B96" t="str">
            <v>гл. ас.  Славка Грънчарова</v>
          </cell>
          <cell r="C96" t="str">
            <v>гл. ас.</v>
          </cell>
          <cell r="D96"/>
          <cell r="E96" t="str">
            <v>Славка</v>
          </cell>
          <cell r="F96" t="str">
            <v>Христева</v>
          </cell>
          <cell r="G96" t="str">
            <v>Грънчарова</v>
          </cell>
          <cell r="H96" t="str">
            <v>Катедра по английска филология</v>
          </cell>
          <cell r="I96" t="str">
            <v>ПУ</v>
          </cell>
          <cell r="J96" t="str">
            <v>NEHAB</v>
          </cell>
          <cell r="K96" t="str">
            <v>NODR</v>
          </cell>
          <cell r="L96" t="str">
            <v>ОТД</v>
          </cell>
          <cell r="M96">
            <v>1962</v>
          </cell>
          <cell r="N96" t="str">
            <v>жена</v>
          </cell>
          <cell r="O96">
            <v>51</v>
          </cell>
          <cell r="P96"/>
          <cell r="Q96"/>
          <cell r="R96"/>
          <cell r="S96"/>
          <cell r="T96"/>
          <cell r="U96"/>
          <cell r="V96"/>
          <cell r="W96"/>
          <cell r="X96"/>
          <cell r="Y96" t="str">
            <v>05.04.20 Германски езици</v>
          </cell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</row>
        <row r="97">
          <cell r="A97" t="str">
            <v>Обретенов</v>
          </cell>
          <cell r="B97" t="str">
            <v>гл. ас.  Огнян Обретенов</v>
          </cell>
          <cell r="C97" t="str">
            <v>гл. ас.</v>
          </cell>
          <cell r="D97"/>
          <cell r="E97" t="str">
            <v>Огнян</v>
          </cell>
          <cell r="F97" t="str">
            <v>Тодоров</v>
          </cell>
          <cell r="G97" t="str">
            <v>Обретенов</v>
          </cell>
          <cell r="H97" t="str">
            <v>Катедра по английска филология</v>
          </cell>
          <cell r="I97" t="str">
            <v>ПУ</v>
          </cell>
          <cell r="J97" t="str">
            <v>NEHAB</v>
          </cell>
          <cell r="K97" t="str">
            <v>NODR</v>
          </cell>
          <cell r="L97" t="str">
            <v>ОТД</v>
          </cell>
          <cell r="M97">
            <v>1946</v>
          </cell>
          <cell r="N97" t="str">
            <v>мъж</v>
          </cell>
          <cell r="O97">
            <v>67</v>
          </cell>
          <cell r="P97"/>
          <cell r="Q97"/>
          <cell r="R97"/>
          <cell r="S97"/>
          <cell r="T97"/>
          <cell r="U97"/>
          <cell r="V97"/>
          <cell r="W97"/>
          <cell r="X97"/>
          <cell r="Y97" t="str">
            <v>05.04.20 Германски езици</v>
          </cell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</row>
        <row r="98">
          <cell r="A98" t="str">
            <v>Илиева</v>
          </cell>
          <cell r="B98" t="str">
            <v>ас.  Румяна Илиева</v>
          </cell>
          <cell r="C98" t="str">
            <v>ас.</v>
          </cell>
          <cell r="D98"/>
          <cell r="E98" t="str">
            <v>Румяна</v>
          </cell>
          <cell r="F98" t="str">
            <v>Илиева</v>
          </cell>
          <cell r="G98" t="str">
            <v>Илиева</v>
          </cell>
          <cell r="H98" t="str">
            <v>Катедра по английска филология</v>
          </cell>
          <cell r="I98" t="str">
            <v>ПУ</v>
          </cell>
          <cell r="J98" t="str">
            <v>NEHAB</v>
          </cell>
          <cell r="K98" t="str">
            <v>NODR</v>
          </cell>
          <cell r="L98" t="str">
            <v>ОТД</v>
          </cell>
          <cell r="M98">
            <v>1972</v>
          </cell>
          <cell r="N98" t="str">
            <v>жена</v>
          </cell>
          <cell r="O98">
            <v>41</v>
          </cell>
          <cell r="P98"/>
          <cell r="Q98"/>
          <cell r="R98"/>
          <cell r="S98"/>
          <cell r="T98"/>
          <cell r="U98"/>
          <cell r="V98"/>
          <cell r="W98"/>
          <cell r="X98"/>
          <cell r="Y98" t="str">
            <v>05.04.20 Германски езици</v>
          </cell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</row>
        <row r="99">
          <cell r="A99" t="str">
            <v>поповска</v>
          </cell>
          <cell r="B99" t="str">
            <v>ас.  Бистра Поповска</v>
          </cell>
          <cell r="C99" t="str">
            <v>ас.</v>
          </cell>
          <cell r="D99"/>
          <cell r="E99" t="str">
            <v>Бистра</v>
          </cell>
          <cell r="F99" t="str">
            <v>Димитрова</v>
          </cell>
          <cell r="G99" t="str">
            <v>Поповска</v>
          </cell>
          <cell r="H99" t="str">
            <v>Катедра по английска филология</v>
          </cell>
          <cell r="I99" t="str">
            <v>ПУ</v>
          </cell>
          <cell r="J99" t="str">
            <v>NEHAB</v>
          </cell>
          <cell r="K99" t="str">
            <v>NODR</v>
          </cell>
          <cell r="L99" t="str">
            <v>ОТД</v>
          </cell>
          <cell r="M99">
            <v>1963</v>
          </cell>
          <cell r="N99" t="str">
            <v>жена</v>
          </cell>
          <cell r="O99">
            <v>50</v>
          </cell>
          <cell r="P99"/>
          <cell r="Q99"/>
          <cell r="R99"/>
          <cell r="S99"/>
          <cell r="T99"/>
          <cell r="U99"/>
          <cell r="V99"/>
          <cell r="W99"/>
          <cell r="X99"/>
          <cell r="Y99" t="str">
            <v>05.04.20 Германски езици</v>
          </cell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</row>
        <row r="100">
          <cell r="A100" t="str">
            <v>цецилия</v>
          </cell>
          <cell r="B100" t="str">
            <v>ас.  Цецилия Маркова-Дженкинс</v>
          </cell>
          <cell r="C100" t="str">
            <v>ас.</v>
          </cell>
          <cell r="D100"/>
          <cell r="E100" t="str">
            <v>Цецилия</v>
          </cell>
          <cell r="F100" t="str">
            <v>Първанова</v>
          </cell>
          <cell r="G100" t="str">
            <v>Маркова-Дженкинс</v>
          </cell>
          <cell r="H100" t="str">
            <v>Катедра по английска филология</v>
          </cell>
          <cell r="I100" t="str">
            <v>ПУ</v>
          </cell>
          <cell r="J100" t="str">
            <v>NEHAB</v>
          </cell>
          <cell r="K100" t="str">
            <v>NODR</v>
          </cell>
          <cell r="L100" t="str">
            <v>ОТД</v>
          </cell>
          <cell r="M100">
            <v>1955</v>
          </cell>
          <cell r="N100" t="str">
            <v>жена</v>
          </cell>
          <cell r="O100">
            <v>58</v>
          </cell>
          <cell r="P100"/>
          <cell r="Q100"/>
          <cell r="R100"/>
          <cell r="S100"/>
          <cell r="T100"/>
          <cell r="U100"/>
          <cell r="V100"/>
          <cell r="W100"/>
          <cell r="X100"/>
          <cell r="Y100" t="str">
            <v>05.04.20 Германски езици</v>
          </cell>
          <cell r="Z100"/>
          <cell r="AA100"/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</row>
        <row r="101">
          <cell r="A101" t="str">
            <v>Роуланд</v>
          </cell>
          <cell r="B101" t="str">
            <v>гл. ас. д-р Яна Роуланд</v>
          </cell>
          <cell r="C101" t="str">
            <v>гл. ас.</v>
          </cell>
          <cell r="D101" t="str">
            <v>д-р</v>
          </cell>
          <cell r="E101" t="str">
            <v>Яна</v>
          </cell>
          <cell r="F101" t="str">
            <v>Бучкова</v>
          </cell>
          <cell r="G101" t="str">
            <v>Роуланд</v>
          </cell>
          <cell r="H101" t="str">
            <v>Катедра по английска филология</v>
          </cell>
          <cell r="I101" t="str">
            <v>ПУ</v>
          </cell>
          <cell r="J101" t="str">
            <v>NEHAB</v>
          </cell>
          <cell r="K101" t="str">
            <v>DR</v>
          </cell>
          <cell r="L101" t="str">
            <v>ОТД</v>
          </cell>
          <cell r="M101">
            <v>1977</v>
          </cell>
          <cell r="N101" t="str">
            <v>жена</v>
          </cell>
          <cell r="O101">
            <v>36</v>
          </cell>
          <cell r="P101"/>
          <cell r="Q101" t="str">
            <v>05.04.06 Литература на народите на Европа, Америка, Африка, Азия и Австралия</v>
          </cell>
          <cell r="R101"/>
          <cell r="S101"/>
          <cell r="T101"/>
          <cell r="U101"/>
          <cell r="V101"/>
          <cell r="W101"/>
          <cell r="X101"/>
          <cell r="Y101" t="str">
            <v>05.04.06 Литература на народите на Европа, Америка, Африка, Азия и Австралия</v>
          </cell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</row>
        <row r="102">
          <cell r="A102" t="str">
            <v>декова</v>
          </cell>
          <cell r="B102" t="str">
            <v>гл. ас. д-р Росица Декова</v>
          </cell>
          <cell r="C102" t="str">
            <v>гл. ас.</v>
          </cell>
          <cell r="D102" t="str">
            <v>д-р</v>
          </cell>
          <cell r="E102" t="str">
            <v>Росица</v>
          </cell>
          <cell r="F102" t="str">
            <v>Панайотова</v>
          </cell>
          <cell r="G102" t="str">
            <v>Декова</v>
          </cell>
          <cell r="H102" t="str">
            <v>Катедра по английска филология</v>
          </cell>
          <cell r="I102" t="str">
            <v>ПУ</v>
          </cell>
          <cell r="J102" t="str">
            <v>NEHAB</v>
          </cell>
          <cell r="K102" t="str">
            <v>DR</v>
          </cell>
          <cell r="L102" t="str">
            <v>ОТД</v>
          </cell>
          <cell r="M102">
            <v>1977</v>
          </cell>
          <cell r="N102" t="str">
            <v>жена</v>
          </cell>
          <cell r="O102">
            <v>36</v>
          </cell>
          <cell r="P102"/>
          <cell r="Q102" t="str">
            <v>05.04.11 Общо и сравнително езикознание</v>
          </cell>
          <cell r="R102"/>
          <cell r="S102"/>
          <cell r="T102"/>
          <cell r="U102"/>
          <cell r="V102"/>
          <cell r="W102"/>
          <cell r="X102"/>
          <cell r="Y102" t="str">
            <v>05.04.11 Общо и сравнително езикознание</v>
          </cell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</row>
        <row r="103">
          <cell r="A103"/>
          <cell r="B103" t="str">
            <v>секретар  Жаклин Коен</v>
          </cell>
          <cell r="C103" t="str">
            <v>секретар</v>
          </cell>
          <cell r="D103"/>
          <cell r="E103" t="str">
            <v>Жаклин</v>
          </cell>
          <cell r="F103" t="str">
            <v>Бенямин</v>
          </cell>
          <cell r="G103" t="str">
            <v>Коен</v>
          </cell>
          <cell r="H103" t="str">
            <v>Катедра по английска филология</v>
          </cell>
          <cell r="I103" t="str">
            <v>ПУ</v>
          </cell>
          <cell r="J103" t="str">
            <v>NEHAB</v>
          </cell>
          <cell r="K103" t="str">
            <v>NODR</v>
          </cell>
          <cell r="L103" t="str">
            <v>ОТД</v>
          </cell>
          <cell r="M103">
            <v>1960</v>
          </cell>
          <cell r="N103" t="str">
            <v>жена</v>
          </cell>
          <cell r="O103">
            <v>53</v>
          </cell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</row>
        <row r="104">
          <cell r="A104" t="str">
            <v>Танева</v>
          </cell>
          <cell r="B104" t="str">
            <v>гл. ас.  Иванка Танева-Иванова</v>
          </cell>
          <cell r="C104" t="str">
            <v>гл. ас.</v>
          </cell>
          <cell r="D104"/>
          <cell r="E104" t="str">
            <v>Иванка</v>
          </cell>
          <cell r="F104" t="str">
            <v>Танева</v>
          </cell>
          <cell r="G104" t="str">
            <v>Танева-Иванова</v>
          </cell>
          <cell r="H104" t="str">
            <v>Катедра по романистика и германистика</v>
          </cell>
          <cell r="I104" t="str">
            <v>ПУ</v>
          </cell>
          <cell r="J104" t="str">
            <v>NEHAB</v>
          </cell>
          <cell r="K104" t="str">
            <v>NODR</v>
          </cell>
          <cell r="L104" t="str">
            <v>ОТД</v>
          </cell>
          <cell r="M104">
            <v>1960</v>
          </cell>
          <cell r="N104" t="str">
            <v>жена</v>
          </cell>
          <cell r="O104">
            <v>53</v>
          </cell>
          <cell r="P104"/>
          <cell r="Q104"/>
          <cell r="R104"/>
          <cell r="S104"/>
          <cell r="T104"/>
          <cell r="U104"/>
          <cell r="V104"/>
          <cell r="W104"/>
          <cell r="X104"/>
          <cell r="Y104" t="str">
            <v>05.04.20 Германски езици</v>
          </cell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</row>
        <row r="105">
          <cell r="A105" t="str">
            <v>жпеткова</v>
          </cell>
          <cell r="B105" t="str">
            <v>гл. ас.  Живка Петкова</v>
          </cell>
          <cell r="C105" t="str">
            <v>гл. ас.</v>
          </cell>
          <cell r="D105"/>
          <cell r="E105" t="str">
            <v>Живка</v>
          </cell>
          <cell r="F105" t="str">
            <v>Атанасова</v>
          </cell>
          <cell r="G105" t="str">
            <v>Петкова</v>
          </cell>
          <cell r="H105" t="str">
            <v>Катедра по романистика и германистика</v>
          </cell>
          <cell r="I105" t="str">
            <v>ПУ</v>
          </cell>
          <cell r="J105" t="str">
            <v>NEHAB</v>
          </cell>
          <cell r="K105" t="str">
            <v>NODR</v>
          </cell>
          <cell r="L105" t="str">
            <v>ОТД</v>
          </cell>
          <cell r="M105">
            <v>1959</v>
          </cell>
          <cell r="N105" t="str">
            <v>жена</v>
          </cell>
          <cell r="O105">
            <v>53</v>
          </cell>
          <cell r="P105"/>
          <cell r="Q105"/>
          <cell r="R105"/>
          <cell r="S105"/>
          <cell r="T105"/>
          <cell r="U105"/>
          <cell r="V105"/>
          <cell r="W105"/>
          <cell r="X105"/>
          <cell r="Y105" t="str">
            <v>05.04.20 Германски езици</v>
          </cell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</row>
        <row r="106">
          <cell r="A106" t="str">
            <v>Георгиев</v>
          </cell>
          <cell r="B106" t="str">
            <v>гл. ас.  Деян Георгиев</v>
          </cell>
          <cell r="C106" t="str">
            <v>гл. ас.</v>
          </cell>
          <cell r="D106"/>
          <cell r="E106" t="str">
            <v>Деян</v>
          </cell>
          <cell r="F106" t="str">
            <v>Делчев</v>
          </cell>
          <cell r="G106" t="str">
            <v>Георгиев</v>
          </cell>
          <cell r="H106" t="str">
            <v>Катедра по романистика и германистика</v>
          </cell>
          <cell r="I106" t="str">
            <v>ПУ</v>
          </cell>
          <cell r="J106" t="str">
            <v>NEHAB</v>
          </cell>
          <cell r="K106" t="str">
            <v>NODR</v>
          </cell>
          <cell r="L106" t="str">
            <v>ОТД</v>
          </cell>
          <cell r="M106">
            <v>1968</v>
          </cell>
          <cell r="N106" t="str">
            <v>мъж</v>
          </cell>
          <cell r="O106">
            <v>45</v>
          </cell>
          <cell r="P106"/>
          <cell r="Q106"/>
          <cell r="R106"/>
          <cell r="S106"/>
          <cell r="T106"/>
          <cell r="U106"/>
          <cell r="V106"/>
          <cell r="W106"/>
          <cell r="X106"/>
          <cell r="Y106" t="str">
            <v>05.04.20 Германски езици</v>
          </cell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</row>
        <row r="107">
          <cell r="A107" t="str">
            <v>РМинкова</v>
          </cell>
          <cell r="B107" t="str">
            <v>гл. ас. д-р Радослава Минкова</v>
          </cell>
          <cell r="C107" t="str">
            <v>гл. ас.</v>
          </cell>
          <cell r="D107" t="str">
            <v>д-р</v>
          </cell>
          <cell r="E107" t="str">
            <v>Радослава</v>
          </cell>
          <cell r="F107" t="str">
            <v>Илиева</v>
          </cell>
          <cell r="G107" t="str">
            <v>Минкова</v>
          </cell>
          <cell r="H107" t="str">
            <v>Катедра по романистика и германистика</v>
          </cell>
          <cell r="I107" t="str">
            <v>ПУ</v>
          </cell>
          <cell r="J107" t="str">
            <v>NEHAB</v>
          </cell>
          <cell r="K107" t="str">
            <v>DR</v>
          </cell>
          <cell r="L107" t="str">
            <v>ОТД</v>
          </cell>
          <cell r="M107">
            <v>1969</v>
          </cell>
          <cell r="N107" t="str">
            <v>жена</v>
          </cell>
          <cell r="O107">
            <v>44</v>
          </cell>
          <cell r="P107"/>
          <cell r="Q107" t="str">
            <v>05.04.06 Литература на народите на Европа, Америка, Африка, Азия и Австралия</v>
          </cell>
          <cell r="R107"/>
          <cell r="S107"/>
          <cell r="T107"/>
          <cell r="U107"/>
          <cell r="V107"/>
          <cell r="W107"/>
          <cell r="X107"/>
          <cell r="Y107" t="str">
            <v>05.04.06 Литература на народите на Европа, Америка, Африка, Азия и Австралия</v>
          </cell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</row>
        <row r="108">
          <cell r="A108" t="str">
            <v>силиева</v>
          </cell>
          <cell r="B108" t="str">
            <v>ас.  Станислава Илиева</v>
          </cell>
          <cell r="C108" t="str">
            <v>ас.</v>
          </cell>
          <cell r="D108"/>
          <cell r="E108" t="str">
            <v>Станислава</v>
          </cell>
          <cell r="F108" t="str">
            <v>Петкова</v>
          </cell>
          <cell r="G108" t="str">
            <v>Илиева</v>
          </cell>
          <cell r="H108" t="str">
            <v>Катедра по романистика и германистика</v>
          </cell>
          <cell r="I108" t="str">
            <v>ПУ</v>
          </cell>
          <cell r="J108" t="str">
            <v>NEHAB</v>
          </cell>
          <cell r="K108" t="str">
            <v>NODR</v>
          </cell>
          <cell r="L108" t="str">
            <v>ОТД</v>
          </cell>
          <cell r="M108">
            <v>1976</v>
          </cell>
          <cell r="N108" t="str">
            <v>жена</v>
          </cell>
          <cell r="O108">
            <v>37</v>
          </cell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 t="str">
            <v>05.04.20 Германски езици</v>
          </cell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</row>
        <row r="109">
          <cell r="A109" t="str">
            <v>Николов</v>
          </cell>
          <cell r="B109" t="str">
            <v>доц. д-р Руси Николов</v>
          </cell>
          <cell r="C109" t="str">
            <v>доц.</v>
          </cell>
          <cell r="D109" t="str">
            <v>д-р</v>
          </cell>
          <cell r="E109" t="str">
            <v>Руси</v>
          </cell>
          <cell r="F109" t="str">
            <v>Николов</v>
          </cell>
          <cell r="G109" t="str">
            <v>Николов</v>
          </cell>
          <cell r="H109" t="str">
            <v>Катедра по романистика и германистика</v>
          </cell>
          <cell r="I109" t="str">
            <v>ПУ</v>
          </cell>
          <cell r="J109" t="str">
            <v>HAB</v>
          </cell>
          <cell r="K109" t="str">
            <v>DR</v>
          </cell>
          <cell r="L109" t="str">
            <v>ОТД</v>
          </cell>
          <cell r="M109">
            <v>1960</v>
          </cell>
          <cell r="N109" t="str">
            <v>мъж</v>
          </cell>
          <cell r="O109">
            <v>53</v>
          </cell>
          <cell r="P109"/>
          <cell r="Q109" t="str">
            <v>05.04.21 Романски езици</v>
          </cell>
          <cell r="R109"/>
          <cell r="S109"/>
          <cell r="T109"/>
          <cell r="U109"/>
          <cell r="V109"/>
          <cell r="W109" t="str">
            <v>05.04.21 Романски езици</v>
          </cell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</row>
        <row r="110">
          <cell r="A110" t="str">
            <v>Кънчев</v>
          </cell>
          <cell r="B110" t="str">
            <v>проф. дфн Иван Кънчев</v>
          </cell>
          <cell r="C110" t="str">
            <v>проф.</v>
          </cell>
          <cell r="D110" t="str">
            <v>дфн</v>
          </cell>
          <cell r="E110" t="str">
            <v>Иван</v>
          </cell>
          <cell r="F110" t="str">
            <v>Вълчев</v>
          </cell>
          <cell r="G110" t="str">
            <v>Кънчев</v>
          </cell>
          <cell r="H110" t="str">
            <v>Катедра по романистика и германистика</v>
          </cell>
          <cell r="I110" t="str">
            <v>ПУ</v>
          </cell>
          <cell r="J110" t="str">
            <v>HAB</v>
          </cell>
          <cell r="K110" t="str">
            <v>DR</v>
          </cell>
          <cell r="L110" t="str">
            <v>ОТД</v>
          </cell>
          <cell r="M110">
            <v>1935</v>
          </cell>
          <cell r="N110" t="str">
            <v>мъж</v>
          </cell>
          <cell r="O110">
            <v>78</v>
          </cell>
          <cell r="P110"/>
          <cell r="Q110"/>
          <cell r="R110"/>
          <cell r="S110" t="str">
            <v>05.04.21 Романски езици</v>
          </cell>
          <cell r="T110"/>
          <cell r="U110" t="str">
            <v>05.04.21 Романски езици</v>
          </cell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</row>
        <row r="111">
          <cell r="A111" t="str">
            <v>Дичева</v>
          </cell>
          <cell r="B111" t="str">
            <v>доц. д-р Малина Дичева</v>
          </cell>
          <cell r="C111" t="str">
            <v>доц.</v>
          </cell>
          <cell r="D111" t="str">
            <v>д-р</v>
          </cell>
          <cell r="E111" t="str">
            <v>Малина</v>
          </cell>
          <cell r="F111" t="str">
            <v>Николова</v>
          </cell>
          <cell r="G111" t="str">
            <v>Дичева</v>
          </cell>
          <cell r="H111" t="str">
            <v>Катедра по романистика и германистика</v>
          </cell>
          <cell r="I111" t="str">
            <v>ПУ</v>
          </cell>
          <cell r="J111" t="str">
            <v>HAB</v>
          </cell>
          <cell r="K111" t="str">
            <v>DR</v>
          </cell>
          <cell r="L111" t="str">
            <v>ОТД</v>
          </cell>
          <cell r="M111">
            <v>1957</v>
          </cell>
          <cell r="N111" t="str">
            <v>жена</v>
          </cell>
          <cell r="O111">
            <v>56</v>
          </cell>
          <cell r="P111"/>
          <cell r="Q111" t="str">
            <v>05.04.21 Романски езици</v>
          </cell>
          <cell r="R111"/>
          <cell r="S111"/>
          <cell r="T111"/>
          <cell r="U111"/>
          <cell r="V111"/>
          <cell r="W111" t="str">
            <v>05.04.21 Романски езици</v>
          </cell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</row>
        <row r="112">
          <cell r="A112" t="str">
            <v>Неделчева</v>
          </cell>
          <cell r="B112" t="str">
            <v>гл. ас. д-р Златороса Неделчева-Белафанте</v>
          </cell>
          <cell r="C112" t="str">
            <v>гл. ас.</v>
          </cell>
          <cell r="D112" t="str">
            <v>д-р</v>
          </cell>
          <cell r="E112" t="str">
            <v>Златороса</v>
          </cell>
          <cell r="F112" t="str">
            <v>Николова</v>
          </cell>
          <cell r="G112" t="str">
            <v>Неделчева-Белафанте</v>
          </cell>
          <cell r="H112" t="str">
            <v>Катедра по романистика и германистика</v>
          </cell>
          <cell r="I112" t="str">
            <v>ПУ</v>
          </cell>
          <cell r="J112" t="str">
            <v>NEHAB</v>
          </cell>
          <cell r="K112" t="str">
            <v>DR</v>
          </cell>
          <cell r="L112" t="str">
            <v>ОТД</v>
          </cell>
          <cell r="M112">
            <v>1964</v>
          </cell>
          <cell r="N112" t="str">
            <v>жена</v>
          </cell>
          <cell r="O112">
            <v>49</v>
          </cell>
          <cell r="P112"/>
          <cell r="Q112" t="str">
            <v>05.04.06 Литература на народите на Европа, Америка, Африка, Азия и Австралия</v>
          </cell>
          <cell r="R112"/>
          <cell r="S112"/>
          <cell r="T112"/>
          <cell r="U112"/>
          <cell r="V112"/>
          <cell r="W112"/>
          <cell r="X112"/>
          <cell r="Y112" t="str">
            <v>05.04.06 Л;итература на народите на Европа, Америка, Африка, Азия и Австралия</v>
          </cell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</row>
        <row r="113">
          <cell r="A113" t="str">
            <v>Мекенян</v>
          </cell>
          <cell r="B113" t="str">
            <v>гл. ас.  Соня Мекенян</v>
          </cell>
          <cell r="C113" t="str">
            <v>гл. ас.</v>
          </cell>
          <cell r="D113"/>
          <cell r="E113" t="str">
            <v>Соня</v>
          </cell>
          <cell r="F113" t="str">
            <v>Хмаяк</v>
          </cell>
          <cell r="G113" t="str">
            <v>Мекенян</v>
          </cell>
          <cell r="H113" t="str">
            <v>Катедра по романистика и германистика</v>
          </cell>
          <cell r="I113" t="str">
            <v>ПУ</v>
          </cell>
          <cell r="J113" t="str">
            <v>NEHAB</v>
          </cell>
          <cell r="K113" t="str">
            <v>NODR</v>
          </cell>
          <cell r="L113" t="str">
            <v>ОТД</v>
          </cell>
          <cell r="M113">
            <v>1955</v>
          </cell>
          <cell r="N113" t="str">
            <v>жена</v>
          </cell>
          <cell r="O113">
            <v>58</v>
          </cell>
          <cell r="P113"/>
          <cell r="Q113"/>
          <cell r="R113"/>
          <cell r="S113"/>
          <cell r="T113"/>
          <cell r="U113"/>
          <cell r="V113"/>
          <cell r="W113"/>
          <cell r="X113"/>
          <cell r="Y113" t="str">
            <v>05.04.21 Романски езици</v>
          </cell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</row>
        <row r="114">
          <cell r="A114" t="str">
            <v>Петрова</v>
          </cell>
          <cell r="B114" t="str">
            <v>гл. ас.  Райна Петрова</v>
          </cell>
          <cell r="C114" t="str">
            <v>гл. ас.</v>
          </cell>
          <cell r="D114"/>
          <cell r="E114" t="str">
            <v>Райна</v>
          </cell>
          <cell r="F114" t="str">
            <v>Василева</v>
          </cell>
          <cell r="G114" t="str">
            <v>Петрова</v>
          </cell>
          <cell r="H114" t="str">
            <v>Катедра по романистика и германистика</v>
          </cell>
          <cell r="I114" t="str">
            <v>ПУ</v>
          </cell>
          <cell r="J114" t="str">
            <v>NEHAB</v>
          </cell>
          <cell r="K114" t="str">
            <v>NODR</v>
          </cell>
          <cell r="L114" t="str">
            <v>ОТД</v>
          </cell>
          <cell r="M114">
            <v>1978</v>
          </cell>
          <cell r="N114" t="str">
            <v>жена</v>
          </cell>
          <cell r="O114">
            <v>34</v>
          </cell>
          <cell r="P114"/>
          <cell r="Q114"/>
          <cell r="R114"/>
          <cell r="S114"/>
          <cell r="T114"/>
          <cell r="U114"/>
          <cell r="V114"/>
          <cell r="W114"/>
          <cell r="X114"/>
          <cell r="Y114" t="str">
            <v>05.04.21 Романски езици</v>
          </cell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</row>
        <row r="115">
          <cell r="A115" t="str">
            <v>ненкова</v>
          </cell>
          <cell r="B115" t="str">
            <v>гл. ас. д-р Веселка Ненкова</v>
          </cell>
          <cell r="C115" t="str">
            <v>гл. ас.</v>
          </cell>
          <cell r="D115" t="str">
            <v>д-р</v>
          </cell>
          <cell r="E115" t="str">
            <v>Веселка</v>
          </cell>
          <cell r="F115"/>
          <cell r="G115" t="str">
            <v>Ненкова</v>
          </cell>
          <cell r="H115" t="str">
            <v>Катедра по романистика и германистика</v>
          </cell>
          <cell r="I115" t="str">
            <v>ПУ</v>
          </cell>
          <cell r="J115" t="str">
            <v>NEHAB</v>
          </cell>
          <cell r="K115"/>
          <cell r="L115" t="str">
            <v>ОТД</v>
          </cell>
          <cell r="M115">
            <v>1972</v>
          </cell>
          <cell r="N115" t="str">
            <v>жена</v>
          </cell>
          <cell r="O115">
            <v>40</v>
          </cell>
          <cell r="P115"/>
          <cell r="Q115" t="str">
            <v>05.04.21 Романски езици</v>
          </cell>
          <cell r="R115"/>
          <cell r="S115"/>
          <cell r="T115"/>
          <cell r="U115"/>
          <cell r="V115"/>
          <cell r="W115"/>
          <cell r="X115"/>
          <cell r="Y115" t="str">
            <v>05.04.21 Романски езици</v>
          </cell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</row>
        <row r="116">
          <cell r="A116" t="str">
            <v>Тименова</v>
          </cell>
          <cell r="B116" t="str">
            <v>гл. ас. д-р Мая Тименова-Коен</v>
          </cell>
          <cell r="C116" t="str">
            <v>гл. ас.</v>
          </cell>
          <cell r="D116" t="str">
            <v>д-р</v>
          </cell>
          <cell r="E116" t="str">
            <v>Мая</v>
          </cell>
          <cell r="F116" t="str">
            <v>Иванова</v>
          </cell>
          <cell r="G116" t="str">
            <v>Тименова-Коен</v>
          </cell>
          <cell r="H116" t="str">
            <v>Катедра по романистика и германистика</v>
          </cell>
          <cell r="I116" t="str">
            <v>ПУ</v>
          </cell>
          <cell r="J116" t="str">
            <v>NEHAB</v>
          </cell>
          <cell r="K116" t="str">
            <v>DR</v>
          </cell>
          <cell r="L116" t="str">
            <v>ОТД</v>
          </cell>
          <cell r="M116">
            <v>1953</v>
          </cell>
          <cell r="N116" t="str">
            <v>жена</v>
          </cell>
          <cell r="O116">
            <v>60</v>
          </cell>
          <cell r="P116"/>
          <cell r="Q116" t="str">
            <v>05.04.06 Литература на народите на Европа, Америка, Африка, Азия и Австралия</v>
          </cell>
          <cell r="R116"/>
          <cell r="S116"/>
          <cell r="T116"/>
          <cell r="U116"/>
          <cell r="V116"/>
          <cell r="W116"/>
          <cell r="X116"/>
          <cell r="Y116" t="str">
            <v>05.04.06 Литература на народите на Европа, Америка, Африка, Азия и Австралия</v>
          </cell>
          <cell r="Z116"/>
          <cell r="AA116"/>
          <cell r="AB116"/>
          <cell r="AC116"/>
          <cell r="AD116"/>
          <cell r="AE116"/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</row>
        <row r="117">
          <cell r="A117"/>
          <cell r="B117" t="str">
            <v>секретар  Еленка Щерева</v>
          </cell>
          <cell r="C117" t="str">
            <v>секретар</v>
          </cell>
          <cell r="D117"/>
          <cell r="E117" t="str">
            <v>Еленка</v>
          </cell>
          <cell r="F117" t="str">
            <v>Йорданова</v>
          </cell>
          <cell r="G117" t="str">
            <v>Щерева</v>
          </cell>
          <cell r="H117" t="str">
            <v>Катедра по романистика и германистика</v>
          </cell>
          <cell r="I117" t="str">
            <v>ПУ</v>
          </cell>
          <cell r="J117" t="str">
            <v>NEHAB</v>
          </cell>
          <cell r="K117" t="str">
            <v>NODR</v>
          </cell>
          <cell r="L117" t="str">
            <v>ОТД</v>
          </cell>
          <cell r="M117">
            <v>1962</v>
          </cell>
          <cell r="N117" t="str">
            <v>жена</v>
          </cell>
          <cell r="O117">
            <v>51</v>
          </cell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</row>
        <row r="118">
          <cell r="A118" t="str">
            <v>Протохристова</v>
          </cell>
          <cell r="B118" t="str">
            <v>проф. дфн Клео Протохристова</v>
          </cell>
          <cell r="C118" t="str">
            <v>проф.</v>
          </cell>
          <cell r="D118" t="str">
            <v>дфн</v>
          </cell>
          <cell r="E118" t="str">
            <v>Клео</v>
          </cell>
          <cell r="F118" t="str">
            <v>Стефанова</v>
          </cell>
          <cell r="G118" t="str">
            <v>Протохристова</v>
          </cell>
          <cell r="H118" t="str">
            <v>Катедра по история на литературата и сравнително литературознание</v>
          </cell>
          <cell r="I118" t="str">
            <v>ПУ</v>
          </cell>
          <cell r="J118" t="str">
            <v>HAB</v>
          </cell>
          <cell r="K118" t="str">
            <v>DR</v>
          </cell>
          <cell r="L118" t="str">
            <v>ОТД</v>
          </cell>
          <cell r="M118">
            <v>1950</v>
          </cell>
          <cell r="N118" t="str">
            <v>жена</v>
          </cell>
          <cell r="O118">
            <v>63</v>
          </cell>
          <cell r="P118"/>
          <cell r="Q118"/>
          <cell r="R118"/>
          <cell r="S118" t="str">
            <v>05.04.01 Теория и история на литературата</v>
          </cell>
          <cell r="T118"/>
          <cell r="U118" t="str">
            <v>05.04.06 Литература на народите на Европа, Америка, Африка, Азия и Австралия</v>
          </cell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</row>
        <row r="119">
          <cell r="A119" t="str">
            <v>гкръстева</v>
          </cell>
          <cell r="B119" t="str">
            <v>гл. ас. д-р Гергина Кръстева</v>
          </cell>
          <cell r="C119" t="str">
            <v>гл. ас.</v>
          </cell>
          <cell r="D119" t="str">
            <v>д-р</v>
          </cell>
          <cell r="E119" t="str">
            <v>Гергина</v>
          </cell>
          <cell r="F119" t="str">
            <v>Василиева</v>
          </cell>
          <cell r="G119" t="str">
            <v>Кръстева</v>
          </cell>
          <cell r="H119" t="str">
            <v>Катедра по история на литературата и сравнително литературознание</v>
          </cell>
          <cell r="I119" t="str">
            <v>ПУ</v>
          </cell>
          <cell r="J119" t="str">
            <v>NEHAB</v>
          </cell>
          <cell r="K119" t="str">
            <v>DR</v>
          </cell>
          <cell r="L119" t="str">
            <v>ОТД</v>
          </cell>
          <cell r="M119">
            <v>1971</v>
          </cell>
          <cell r="N119" t="str">
            <v>жена</v>
          </cell>
          <cell r="O119">
            <v>41</v>
          </cell>
          <cell r="P119"/>
          <cell r="Q119" t="str">
            <v>05.04.02 Българска литература</v>
          </cell>
          <cell r="R119"/>
          <cell r="S119"/>
          <cell r="T119"/>
          <cell r="U119"/>
          <cell r="V119"/>
          <cell r="W119"/>
          <cell r="X119"/>
          <cell r="Y119" t="str">
            <v>05.04.02 Българска литература</v>
          </cell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</row>
        <row r="120">
          <cell r="A120" t="str">
            <v>Русков</v>
          </cell>
          <cell r="B120" t="str">
            <v>доц. д-р Иван Русков</v>
          </cell>
          <cell r="C120" t="str">
            <v>доц.</v>
          </cell>
          <cell r="D120" t="str">
            <v>д-р</v>
          </cell>
          <cell r="E120" t="str">
            <v>Иван</v>
          </cell>
          <cell r="F120" t="str">
            <v>Тодоров</v>
          </cell>
          <cell r="G120" t="str">
            <v>Русков</v>
          </cell>
          <cell r="H120" t="str">
            <v>Катедра по история на литературата и сравнително литературознание</v>
          </cell>
          <cell r="I120" t="str">
            <v>ПУ</v>
          </cell>
          <cell r="J120" t="str">
            <v>HAB</v>
          </cell>
          <cell r="K120" t="str">
            <v>DR</v>
          </cell>
          <cell r="L120" t="str">
            <v>ОТД</v>
          </cell>
          <cell r="M120">
            <v>1960</v>
          </cell>
          <cell r="N120" t="str">
            <v>жена</v>
          </cell>
          <cell r="O120">
            <v>53</v>
          </cell>
          <cell r="P120"/>
          <cell r="Q120" t="str">
            <v>05.04.02 Българска литература</v>
          </cell>
          <cell r="R120"/>
          <cell r="S120"/>
          <cell r="T120"/>
          <cell r="U120"/>
          <cell r="V120"/>
          <cell r="W120" t="str">
            <v>05.04.02 Българска литература</v>
          </cell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</row>
        <row r="121">
          <cell r="A121" t="str">
            <v>живанов</v>
          </cell>
          <cell r="B121" t="str">
            <v>доц. д-р Живко Иванов</v>
          </cell>
          <cell r="C121" t="str">
            <v>доц.</v>
          </cell>
          <cell r="D121" t="str">
            <v>д-р</v>
          </cell>
          <cell r="E121" t="str">
            <v>Живко</v>
          </cell>
          <cell r="F121" t="str">
            <v>Желев</v>
          </cell>
          <cell r="G121" t="str">
            <v>Иванов</v>
          </cell>
          <cell r="H121" t="str">
            <v>Катедра по история на литературата и сравнително литературознание</v>
          </cell>
          <cell r="I121" t="str">
            <v>ПУ</v>
          </cell>
          <cell r="J121" t="str">
            <v>HAB</v>
          </cell>
          <cell r="K121" t="str">
            <v>DR</v>
          </cell>
          <cell r="L121" t="str">
            <v>ОТД</v>
          </cell>
          <cell r="M121">
            <v>1957</v>
          </cell>
          <cell r="N121" t="str">
            <v>жена</v>
          </cell>
          <cell r="O121">
            <v>56</v>
          </cell>
          <cell r="P121"/>
          <cell r="Q121" t="str">
            <v>05.04.02 Българска литература</v>
          </cell>
          <cell r="R121"/>
          <cell r="S121"/>
          <cell r="T121"/>
          <cell r="U121"/>
          <cell r="V121"/>
          <cell r="W121" t="str">
            <v>05.04.02 Българска литература</v>
          </cell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</row>
        <row r="122">
          <cell r="A122" t="str">
            <v>Влашки</v>
          </cell>
          <cell r="B122" t="str">
            <v>гл. ас.  Младен Влашки</v>
          </cell>
          <cell r="C122" t="str">
            <v>гл. ас.</v>
          </cell>
          <cell r="D122"/>
          <cell r="E122" t="str">
            <v>Младен</v>
          </cell>
          <cell r="F122" t="str">
            <v>Цветанов</v>
          </cell>
          <cell r="G122" t="str">
            <v>Влашки</v>
          </cell>
          <cell r="H122" t="str">
            <v>Катедра по история на литературата и сравнително литературознание</v>
          </cell>
          <cell r="I122" t="str">
            <v>ПУ</v>
          </cell>
          <cell r="J122" t="str">
            <v>NEHAB</v>
          </cell>
          <cell r="K122" t="str">
            <v>NODR</v>
          </cell>
          <cell r="L122" t="str">
            <v>ОТД</v>
          </cell>
          <cell r="M122">
            <v>1959</v>
          </cell>
          <cell r="N122" t="str">
            <v>жена</v>
          </cell>
          <cell r="O122">
            <v>54</v>
          </cell>
          <cell r="P122"/>
          <cell r="Q122"/>
          <cell r="R122"/>
          <cell r="S122"/>
          <cell r="T122"/>
          <cell r="U122"/>
          <cell r="V122"/>
          <cell r="W122"/>
          <cell r="X122"/>
          <cell r="Y122" t="str">
            <v>05.04.06 Литература на народите на Европа, Америка, Африка, Азия и Австралия</v>
          </cell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</row>
        <row r="123">
          <cell r="A123" t="str">
            <v>ДНиколова</v>
          </cell>
          <cell r="B123" t="str">
            <v>гл. ас. д-р Дияна Николова-Багалева</v>
          </cell>
          <cell r="C123" t="str">
            <v>гл. ас.</v>
          </cell>
          <cell r="D123" t="str">
            <v>д-р</v>
          </cell>
          <cell r="E123" t="str">
            <v>Дияна</v>
          </cell>
          <cell r="F123" t="str">
            <v>Василева</v>
          </cell>
          <cell r="G123" t="str">
            <v>Николова-Багалева</v>
          </cell>
          <cell r="H123" t="str">
            <v>Катедра по история на литературата и сравнително литературознание</v>
          </cell>
          <cell r="I123" t="str">
            <v>ПУ</v>
          </cell>
          <cell r="J123" t="str">
            <v>NEHAB</v>
          </cell>
          <cell r="K123" t="str">
            <v>DR</v>
          </cell>
          <cell r="L123" t="str">
            <v>ОТД</v>
          </cell>
          <cell r="M123">
            <v>1965</v>
          </cell>
          <cell r="N123" t="str">
            <v>жена</v>
          </cell>
          <cell r="O123">
            <v>48</v>
          </cell>
          <cell r="P123"/>
          <cell r="Q123" t="str">
            <v>05.04.06 Литература на народите на Европа, Америка, Африка, Азия и Австралия</v>
          </cell>
          <cell r="R123"/>
          <cell r="S123"/>
          <cell r="T123"/>
          <cell r="U123"/>
          <cell r="V123"/>
          <cell r="W123"/>
          <cell r="X123"/>
          <cell r="Y123" t="str">
            <v>05.04.06 Литература н анародите на Европа, Америка, Африка, Азия и Австралия</v>
          </cell>
          <cell r="Z123"/>
          <cell r="AA123"/>
          <cell r="AB123"/>
          <cell r="AC123"/>
          <cell r="AD123"/>
          <cell r="AE123"/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</row>
        <row r="124">
          <cell r="A124" t="str">
            <v>Странджева</v>
          </cell>
          <cell r="B124" t="str">
            <v>гл. ас. д-р Аделина Странджева</v>
          </cell>
          <cell r="C124" t="str">
            <v>гл. ас.</v>
          </cell>
          <cell r="D124" t="str">
            <v>д-р</v>
          </cell>
          <cell r="E124" t="str">
            <v>Аделина</v>
          </cell>
          <cell r="F124" t="str">
            <v>Любомирова</v>
          </cell>
          <cell r="G124" t="str">
            <v>Странджева</v>
          </cell>
          <cell r="H124" t="str">
            <v>Катедра по история на литературата и сравнително литературознание</v>
          </cell>
          <cell r="I124" t="str">
            <v>ПУ</v>
          </cell>
          <cell r="J124" t="str">
            <v>NEHAB</v>
          </cell>
          <cell r="K124" t="str">
            <v>DR</v>
          </cell>
          <cell r="L124" t="str">
            <v>ОТД</v>
          </cell>
          <cell r="M124">
            <v>1960</v>
          </cell>
          <cell r="N124" t="str">
            <v>жена</v>
          </cell>
          <cell r="O124">
            <v>53</v>
          </cell>
          <cell r="P124"/>
          <cell r="Q124" t="str">
            <v>05.04.02 Българска литература</v>
          </cell>
          <cell r="R124"/>
          <cell r="S124"/>
          <cell r="T124"/>
          <cell r="U124"/>
          <cell r="V124"/>
          <cell r="W124"/>
          <cell r="X124"/>
          <cell r="Y124" t="str">
            <v>05.04.02 Българска литература</v>
          </cell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</row>
        <row r="125">
          <cell r="A125" t="str">
            <v>Ичевска</v>
          </cell>
          <cell r="B125" t="str">
            <v>доц. д-р Татяна Ичевска</v>
          </cell>
          <cell r="C125" t="str">
            <v>доц.</v>
          </cell>
          <cell r="D125" t="str">
            <v>д-р</v>
          </cell>
          <cell r="E125" t="str">
            <v>Татяна</v>
          </cell>
          <cell r="F125" t="str">
            <v>Иванова</v>
          </cell>
          <cell r="G125" t="str">
            <v>Ичевска</v>
          </cell>
          <cell r="H125" t="str">
            <v>Катедра по история на литературата и сравнително литературознание</v>
          </cell>
          <cell r="I125" t="str">
            <v>ПУ</v>
          </cell>
          <cell r="J125" t="str">
            <v>HAB</v>
          </cell>
          <cell r="K125" t="str">
            <v>DR</v>
          </cell>
          <cell r="L125" t="str">
            <v>ОТД</v>
          </cell>
          <cell r="M125">
            <v>1970</v>
          </cell>
          <cell r="N125" t="str">
            <v>жена</v>
          </cell>
          <cell r="O125">
            <v>43</v>
          </cell>
          <cell r="P125"/>
          <cell r="Q125" t="str">
            <v>05.04.02 Българска литература</v>
          </cell>
          <cell r="R125"/>
          <cell r="S125"/>
          <cell r="T125"/>
          <cell r="U125"/>
          <cell r="V125"/>
          <cell r="W125" t="str">
            <v>05.04.02 Българска литература</v>
          </cell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</row>
        <row r="126">
          <cell r="A126" t="str">
            <v>Черпокова</v>
          </cell>
          <cell r="B126" t="str">
            <v>доц. д-р Светла Черпокова-Захариева</v>
          </cell>
          <cell r="C126" t="str">
            <v>доц.</v>
          </cell>
          <cell r="D126" t="str">
            <v>д-р</v>
          </cell>
          <cell r="E126" t="str">
            <v>Светла</v>
          </cell>
          <cell r="F126" t="str">
            <v>Кирилова.</v>
          </cell>
          <cell r="G126" t="str">
            <v>Черпокова-Захариева</v>
          </cell>
          <cell r="H126" t="str">
            <v>Катедра по история на литературата и сравнително литературознание</v>
          </cell>
          <cell r="I126" t="str">
            <v>ПУ</v>
          </cell>
          <cell r="J126" t="str">
            <v>HAB</v>
          </cell>
          <cell r="K126" t="str">
            <v>DR</v>
          </cell>
          <cell r="L126" t="str">
            <v>ОТД</v>
          </cell>
          <cell r="M126">
            <v>1967</v>
          </cell>
          <cell r="N126" t="str">
            <v>жена</v>
          </cell>
          <cell r="O126">
            <v>46</v>
          </cell>
          <cell r="P126"/>
          <cell r="Q126" t="str">
            <v>05.04.02 Българска литература</v>
          </cell>
          <cell r="R126"/>
          <cell r="S126"/>
          <cell r="T126"/>
          <cell r="U126"/>
          <cell r="V126"/>
          <cell r="W126" t="str">
            <v>05.04.06 Литература на народите на Европа, Америка, Африка, Азия и Австралия</v>
          </cell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</row>
        <row r="127">
          <cell r="A127" t="str">
            <v>МКръстева</v>
          </cell>
          <cell r="B127" t="str">
            <v>доц. д-р Мила Кръстева</v>
          </cell>
          <cell r="C127" t="str">
            <v>доц.</v>
          </cell>
          <cell r="D127" t="str">
            <v>д-р</v>
          </cell>
          <cell r="E127" t="str">
            <v>Мила</v>
          </cell>
          <cell r="F127" t="str">
            <v>Димитрова</v>
          </cell>
          <cell r="G127" t="str">
            <v>Кръстева</v>
          </cell>
          <cell r="H127" t="str">
            <v>Катедра по история на литературата и сравнително литературознание</v>
          </cell>
          <cell r="I127" t="str">
            <v>ПУ</v>
          </cell>
          <cell r="J127" t="str">
            <v>HAB</v>
          </cell>
          <cell r="K127" t="str">
            <v>DR</v>
          </cell>
          <cell r="L127" t="str">
            <v>ОТД</v>
          </cell>
          <cell r="M127">
            <v>1960</v>
          </cell>
          <cell r="N127" t="str">
            <v>жена</v>
          </cell>
          <cell r="O127">
            <v>53</v>
          </cell>
          <cell r="P127"/>
          <cell r="Q127" t="str">
            <v>05.04.02 Българск алитература</v>
          </cell>
          <cell r="R127"/>
          <cell r="S127"/>
          <cell r="T127"/>
          <cell r="U127"/>
          <cell r="V127"/>
          <cell r="W127" t="str">
            <v>05.04.02 Българска литература</v>
          </cell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</row>
        <row r="128">
          <cell r="A128" t="str">
            <v>Гетова</v>
          </cell>
          <cell r="B128" t="str">
            <v>доц. д-р Елена Гетова</v>
          </cell>
          <cell r="C128" t="str">
            <v>доц.</v>
          </cell>
          <cell r="D128" t="str">
            <v>д-р</v>
          </cell>
          <cell r="E128" t="str">
            <v>Елена</v>
          </cell>
          <cell r="F128" t="str">
            <v>Славова</v>
          </cell>
          <cell r="G128" t="str">
            <v>Гетова</v>
          </cell>
          <cell r="H128" t="str">
            <v>Катедра по история на литературата и сравнително литературознание</v>
          </cell>
          <cell r="I128" t="str">
            <v>ПУ</v>
          </cell>
          <cell r="J128" t="str">
            <v>HAB</v>
          </cell>
          <cell r="K128" t="str">
            <v>DR</v>
          </cell>
          <cell r="L128" t="str">
            <v>ОТД</v>
          </cell>
          <cell r="M128">
            <v>1969</v>
          </cell>
          <cell r="N128" t="str">
            <v>жена</v>
          </cell>
          <cell r="O128">
            <v>44</v>
          </cell>
          <cell r="P128"/>
          <cell r="Q128" t="str">
            <v>05.04.02 Българска литература</v>
          </cell>
          <cell r="R128"/>
          <cell r="S128"/>
          <cell r="T128"/>
          <cell r="U128"/>
          <cell r="V128"/>
          <cell r="W128" t="str">
            <v>05.04.02 Българска литература</v>
          </cell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</row>
        <row r="129">
          <cell r="A129"/>
          <cell r="B129" t="str">
            <v>филолог-специалист  Стефка Видева</v>
          </cell>
          <cell r="C129" t="str">
            <v>филолог-специалист</v>
          </cell>
          <cell r="D129"/>
          <cell r="E129" t="str">
            <v>Стефка</v>
          </cell>
          <cell r="F129" t="str">
            <v>Иванова</v>
          </cell>
          <cell r="G129" t="str">
            <v>Видева</v>
          </cell>
          <cell r="H129" t="str">
            <v>Катедра по история на литературата и сравнително литературознание</v>
          </cell>
          <cell r="I129" t="str">
            <v>ПУ</v>
          </cell>
          <cell r="J129" t="str">
            <v>NEHAB</v>
          </cell>
          <cell r="K129" t="str">
            <v>NODR</v>
          </cell>
          <cell r="L129" t="str">
            <v>ОТД</v>
          </cell>
          <cell r="M129">
            <v>1959</v>
          </cell>
          <cell r="N129" t="str">
            <v>жена</v>
          </cell>
          <cell r="O129">
            <v>54</v>
          </cell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</row>
        <row r="130">
          <cell r="A130" t="str">
            <v>александрова</v>
          </cell>
          <cell r="B130" t="str">
            <v>гл. ас. д-р Соня Александрова</v>
          </cell>
          <cell r="C130" t="str">
            <v>гл. ас.</v>
          </cell>
          <cell r="D130" t="str">
            <v>д-р</v>
          </cell>
          <cell r="E130" t="str">
            <v>Соня</v>
          </cell>
          <cell r="F130" t="str">
            <v>Красимирова</v>
          </cell>
          <cell r="G130" t="str">
            <v>Александрова</v>
          </cell>
          <cell r="H130" t="str">
            <v>Катедра по история на литературата и сравнително литературознание</v>
          </cell>
          <cell r="I130" t="str">
            <v>ПУ</v>
          </cell>
          <cell r="J130" t="str">
            <v>NEHAB</v>
          </cell>
          <cell r="K130" t="str">
            <v>DR</v>
          </cell>
          <cell r="L130" t="str">
            <v>ОТД</v>
          </cell>
          <cell r="M130">
            <v>1974</v>
          </cell>
          <cell r="N130" t="str">
            <v>жена</v>
          </cell>
          <cell r="O130">
            <v>39</v>
          </cell>
          <cell r="P130"/>
          <cell r="Q130" t="str">
            <v>05.04.06 Литература на народите на Европа, Америка, Африка, Азия и Австралия</v>
          </cell>
          <cell r="R130"/>
          <cell r="S130"/>
          <cell r="T130"/>
          <cell r="U130"/>
          <cell r="V130"/>
          <cell r="W130"/>
          <cell r="X130"/>
          <cell r="Y130" t="str">
            <v>05.04.06 Литература на народите на Европа, Америка, Африка, Азия и Австралия</v>
          </cell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</row>
        <row r="131">
          <cell r="A131" t="str">
            <v>райкова</v>
          </cell>
          <cell r="B131" t="str">
            <v>доц. д-р Желязка Райкова</v>
          </cell>
          <cell r="C131" t="str">
            <v>доц.</v>
          </cell>
          <cell r="D131" t="str">
            <v>д-р</v>
          </cell>
          <cell r="E131" t="str">
            <v>Желязка</v>
          </cell>
          <cell r="F131" t="str">
            <v>Иванова</v>
          </cell>
          <cell r="G131" t="str">
            <v>Райкова</v>
          </cell>
          <cell r="H131" t="str">
            <v>Физически факултет</v>
          </cell>
          <cell r="J131" t="str">
            <v>HAB</v>
          </cell>
          <cell r="K131" t="str">
            <v>DR</v>
          </cell>
          <cell r="L131" t="str">
            <v>ОТД</v>
          </cell>
          <cell r="M131">
            <v>1967</v>
          </cell>
          <cell r="N131" t="str">
            <v>жена</v>
          </cell>
          <cell r="O131">
            <v>46</v>
          </cell>
        </row>
        <row r="132">
          <cell r="A132" t="str">
            <v>Радев</v>
          </cell>
          <cell r="B132" t="str">
            <v>проф. д.п.н. Пламен Радев</v>
          </cell>
          <cell r="C132" t="str">
            <v>проф.</v>
          </cell>
          <cell r="D132" t="str">
            <v>д.п.н.</v>
          </cell>
          <cell r="E132" t="str">
            <v>Пламен</v>
          </cell>
          <cell r="F132" t="str">
            <v>Ангелов</v>
          </cell>
          <cell r="G132" t="str">
            <v>Радев</v>
          </cell>
          <cell r="H132" t="str">
            <v>Педагогически факултет</v>
          </cell>
          <cell r="J132" t="str">
            <v>HAB</v>
          </cell>
          <cell r="K132" t="str">
            <v>NODR</v>
          </cell>
          <cell r="L132" t="str">
            <v>ОТД</v>
          </cell>
          <cell r="M132">
            <v>1950</v>
          </cell>
          <cell r="N132" t="str">
            <v>жена</v>
          </cell>
          <cell r="O132">
            <v>63</v>
          </cell>
        </row>
        <row r="133">
          <cell r="A133" t="str">
            <v>Василев</v>
          </cell>
          <cell r="B133" t="str">
            <v>проф. д.п.н. Веселин Василев</v>
          </cell>
          <cell r="C133" t="str">
            <v>проф.</v>
          </cell>
          <cell r="D133" t="str">
            <v>д.п.н.</v>
          </cell>
          <cell r="E133" t="str">
            <v>Веселин</v>
          </cell>
          <cell r="F133" t="str">
            <v>Николов</v>
          </cell>
          <cell r="G133" t="str">
            <v>Василев</v>
          </cell>
          <cell r="H133" t="str">
            <v>Педагогически факултет</v>
          </cell>
          <cell r="J133" t="str">
            <v>HAB</v>
          </cell>
          <cell r="K133" t="str">
            <v>NODR</v>
          </cell>
          <cell r="L133" t="str">
            <v>ОТД</v>
          </cell>
          <cell r="M133">
            <v>1949</v>
          </cell>
          <cell r="N133" t="str">
            <v>жена</v>
          </cell>
          <cell r="O133">
            <v>64</v>
          </cell>
        </row>
        <row r="134">
          <cell r="A134" t="str">
            <v>Стаматов</v>
          </cell>
          <cell r="B134" t="str">
            <v>проф. д.п.н. Румен Стаматов</v>
          </cell>
          <cell r="C134" t="str">
            <v>проф.</v>
          </cell>
          <cell r="D134" t="str">
            <v>д.п.н.</v>
          </cell>
          <cell r="E134" t="str">
            <v>Румен</v>
          </cell>
          <cell r="F134" t="str">
            <v>Ангелов</v>
          </cell>
          <cell r="G134" t="str">
            <v>Стаматов</v>
          </cell>
          <cell r="H134" t="str">
            <v>Педагогически факултет</v>
          </cell>
          <cell r="L134" t="str">
            <v>ОТД</v>
          </cell>
          <cell r="M134">
            <v>1953</v>
          </cell>
          <cell r="N134" t="str">
            <v>жена</v>
          </cell>
          <cell r="O134">
            <v>60</v>
          </cell>
        </row>
        <row r="135">
          <cell r="A135" t="str">
            <v>Тагарева</v>
          </cell>
          <cell r="B135" t="str">
            <v>доц. д-р Кирилка Тагарева</v>
          </cell>
          <cell r="C135" t="str">
            <v>доц.</v>
          </cell>
          <cell r="D135" t="str">
            <v>д-р</v>
          </cell>
          <cell r="E135" t="str">
            <v>Кирилка</v>
          </cell>
          <cell r="F135" t="str">
            <v xml:space="preserve">Симеонова </v>
          </cell>
          <cell r="G135" t="str">
            <v>Тагарева</v>
          </cell>
          <cell r="L135" t="str">
            <v>ОТД</v>
          </cell>
          <cell r="M135">
            <v>1962</v>
          </cell>
          <cell r="N135" t="str">
            <v>жена</v>
          </cell>
          <cell r="O135">
            <v>51</v>
          </cell>
          <cell r="Q135">
            <v>38508</v>
          </cell>
        </row>
        <row r="136">
          <cell r="A136" t="str">
            <v>Кръстанова</v>
          </cell>
          <cell r="B136" t="str">
            <v>доц. д-р Красимира Кръстанова</v>
          </cell>
          <cell r="C136" t="str">
            <v>доц.</v>
          </cell>
          <cell r="D136" t="str">
            <v>д-р</v>
          </cell>
          <cell r="E136" t="str">
            <v>Красимира</v>
          </cell>
          <cell r="G136" t="str">
            <v>Кръстанова</v>
          </cell>
          <cell r="L136" t="str">
            <v>ОТД</v>
          </cell>
          <cell r="M136">
            <v>1958</v>
          </cell>
          <cell r="N136" t="str">
            <v>жена</v>
          </cell>
          <cell r="O136">
            <v>55</v>
          </cell>
        </row>
        <row r="137">
          <cell r="A137" t="str">
            <v>Митрев</v>
          </cell>
          <cell r="B137" t="str">
            <v>доц. д-р Георги Митрев</v>
          </cell>
          <cell r="C137" t="str">
            <v>доц.</v>
          </cell>
          <cell r="D137" t="str">
            <v>д-р</v>
          </cell>
          <cell r="E137" t="str">
            <v>Георги</v>
          </cell>
          <cell r="G137" t="str">
            <v>Митрев</v>
          </cell>
          <cell r="H137" t="str">
            <v>Философско-исторически</v>
          </cell>
          <cell r="L137" t="str">
            <v>ОТД</v>
          </cell>
          <cell r="M137">
            <v>1963</v>
          </cell>
          <cell r="N137" t="str">
            <v>жена</v>
          </cell>
          <cell r="O137">
            <v>50</v>
          </cell>
        </row>
        <row r="138">
          <cell r="A138" t="str">
            <v>Джамбов</v>
          </cell>
          <cell r="B138" t="str">
            <v>доц. д-р Иван Джамбов</v>
          </cell>
          <cell r="C138" t="str">
            <v>доц.</v>
          </cell>
          <cell r="D138" t="str">
            <v>д-р</v>
          </cell>
          <cell r="E138" t="str">
            <v>Иван</v>
          </cell>
          <cell r="G138" t="str">
            <v>Джамбов</v>
          </cell>
          <cell r="H138" t="str">
            <v>Философско-исторически</v>
          </cell>
          <cell r="L138" t="str">
            <v>ОТД</v>
          </cell>
          <cell r="M138">
            <v>1949</v>
          </cell>
          <cell r="N138" t="str">
            <v>жена</v>
          </cell>
          <cell r="O138">
            <v>64</v>
          </cell>
        </row>
        <row r="139">
          <cell r="A139" t="str">
            <v>Сомова</v>
          </cell>
          <cell r="B139" t="str">
            <v>доц. д-р Елена Сомова</v>
          </cell>
          <cell r="C139" t="str">
            <v>доц.</v>
          </cell>
          <cell r="D139" t="str">
            <v>д-р</v>
          </cell>
          <cell r="E139" t="str">
            <v>Елена</v>
          </cell>
          <cell r="G139" t="str">
            <v>Сомова</v>
          </cell>
          <cell r="H139" t="str">
            <v>ФМИ</v>
          </cell>
          <cell r="L139" t="str">
            <v>ОТД</v>
          </cell>
          <cell r="M139">
            <v>1970</v>
          </cell>
          <cell r="N139" t="str">
            <v>жена</v>
          </cell>
          <cell r="O139">
            <v>43</v>
          </cell>
        </row>
        <row r="140">
          <cell r="A140" t="str">
            <v>сстоянов</v>
          </cell>
          <cell r="B140" t="str">
            <v>проф. д-р Станимир Стоянов</v>
          </cell>
          <cell r="C140" t="str">
            <v>проф.</v>
          </cell>
          <cell r="D140" t="str">
            <v>д-р</v>
          </cell>
          <cell r="E140" t="str">
            <v>Станимир</v>
          </cell>
          <cell r="G140" t="str">
            <v>Стоянов</v>
          </cell>
          <cell r="H140" t="str">
            <v>ФМИ</v>
          </cell>
          <cell r="L140" t="str">
            <v>ОТД</v>
          </cell>
          <cell r="M140">
            <v>1960</v>
          </cell>
          <cell r="N140" t="str">
            <v>жена</v>
          </cell>
          <cell r="O140">
            <v>53</v>
          </cell>
        </row>
        <row r="141">
          <cell r="A141" t="str">
            <v>Хранова</v>
          </cell>
          <cell r="B141" t="str">
            <v>проф. д.с.н. Албена Хранова</v>
          </cell>
          <cell r="C141" t="str">
            <v>проф.</v>
          </cell>
          <cell r="D141" t="str">
            <v>д.с.н.</v>
          </cell>
          <cell r="E141" t="str">
            <v>Албена</v>
          </cell>
          <cell r="F141" t="str">
            <v>Владимирова</v>
          </cell>
          <cell r="G141" t="str">
            <v>Хранова</v>
          </cell>
          <cell r="H141" t="str">
            <v>ФИФ</v>
          </cell>
          <cell r="L141" t="str">
            <v>ОТД</v>
          </cell>
          <cell r="M141">
            <v>1960</v>
          </cell>
          <cell r="N141" t="str">
            <v>жена</v>
          </cell>
          <cell r="O141">
            <v>53</v>
          </cell>
        </row>
        <row r="142">
          <cell r="A142" t="str">
            <v>Димитров</v>
          </cell>
          <cell r="B142" t="str">
            <v>гл. ас. д-р Димитър Димитров</v>
          </cell>
          <cell r="C142" t="str">
            <v>гл. ас.</v>
          </cell>
          <cell r="D142" t="str">
            <v>д-р</v>
          </cell>
          <cell r="E142" t="str">
            <v>Димитър</v>
          </cell>
          <cell r="G142" t="str">
            <v>Димитров</v>
          </cell>
          <cell r="H142" t="str">
            <v>ФИФ</v>
          </cell>
          <cell r="L142" t="str">
            <v>ОТД</v>
          </cell>
          <cell r="M142">
            <v>1968</v>
          </cell>
          <cell r="N142" t="str">
            <v>жена</v>
          </cell>
          <cell r="O142">
            <v>45</v>
          </cell>
        </row>
        <row r="143">
          <cell r="A143" t="str">
            <v>Комсалова</v>
          </cell>
          <cell r="B143" t="str">
            <v>гл. ас. д-р Румяна Комсалова</v>
          </cell>
          <cell r="C143" t="str">
            <v>гл. ас.</v>
          </cell>
          <cell r="D143" t="str">
            <v>д-р</v>
          </cell>
          <cell r="E143" t="str">
            <v>Румяна</v>
          </cell>
          <cell r="G143" t="str">
            <v>Комсалова</v>
          </cell>
          <cell r="H143" t="str">
            <v>ФИФ</v>
          </cell>
          <cell r="L143" t="str">
            <v>ОТД</v>
          </cell>
          <cell r="M143">
            <v>1954</v>
          </cell>
          <cell r="N143" t="str">
            <v>жена</v>
          </cell>
          <cell r="O143">
            <v>59</v>
          </cell>
        </row>
        <row r="144">
          <cell r="A144" t="str">
            <v>Кацаров</v>
          </cell>
          <cell r="B144" t="str">
            <v>гл. ас. д-р Симеон Кацаров</v>
          </cell>
          <cell r="C144" t="str">
            <v>гл. ас.</v>
          </cell>
          <cell r="D144" t="str">
            <v>д-р</v>
          </cell>
          <cell r="E144" t="str">
            <v>Симеон</v>
          </cell>
          <cell r="G144" t="str">
            <v>Кацаров</v>
          </cell>
          <cell r="H144" t="str">
            <v>ФИФ</v>
          </cell>
          <cell r="L144" t="str">
            <v>ОТД</v>
          </cell>
          <cell r="M144">
            <v>1968</v>
          </cell>
          <cell r="N144" t="str">
            <v>жена</v>
          </cell>
          <cell r="O144">
            <v>45</v>
          </cell>
        </row>
        <row r="145">
          <cell r="A145" t="str">
            <v>Джамбова</v>
          </cell>
          <cell r="B145" t="str">
            <v>ас.  Силвия Джамбова</v>
          </cell>
          <cell r="C145" t="str">
            <v>ас.</v>
          </cell>
          <cell r="E145" t="str">
            <v>Силвия</v>
          </cell>
          <cell r="G145" t="str">
            <v>Джамбова</v>
          </cell>
          <cell r="H145" t="str">
            <v>ФИФ</v>
          </cell>
          <cell r="L145" t="str">
            <v>ХОН</v>
          </cell>
          <cell r="M145">
            <v>1952</v>
          </cell>
          <cell r="N145" t="str">
            <v>жена</v>
          </cell>
          <cell r="O145">
            <v>61</v>
          </cell>
        </row>
        <row r="146">
          <cell r="A146" t="str">
            <v>лспасов</v>
          </cell>
          <cell r="B146" t="str">
            <v>проф. д.и.н. Людмил Спасов</v>
          </cell>
          <cell r="C146" t="str">
            <v>проф.</v>
          </cell>
          <cell r="D146" t="str">
            <v>д.и.н.</v>
          </cell>
          <cell r="E146" t="str">
            <v>Людмил</v>
          </cell>
          <cell r="G146" t="str">
            <v>Спасов</v>
          </cell>
          <cell r="H146" t="str">
            <v>ФИФ</v>
          </cell>
          <cell r="L146" t="str">
            <v>ОТД</v>
          </cell>
          <cell r="M146">
            <v>1948</v>
          </cell>
          <cell r="N146"/>
          <cell r="O146">
            <v>65</v>
          </cell>
        </row>
        <row r="147">
          <cell r="A147" t="str">
            <v>Моллов</v>
          </cell>
          <cell r="B147" t="str">
            <v>доц. д-р Петър  Моллов</v>
          </cell>
          <cell r="C147" t="str">
            <v>доц.</v>
          </cell>
          <cell r="D147" t="str">
            <v>д-р</v>
          </cell>
          <cell r="E147" t="str">
            <v xml:space="preserve">Петър </v>
          </cell>
          <cell r="G147" t="str">
            <v>Моллов</v>
          </cell>
          <cell r="L147" t="str">
            <v>ХОН</v>
          </cell>
          <cell r="N147"/>
          <cell r="O147">
            <v>2013</v>
          </cell>
        </row>
        <row r="148">
          <cell r="A148" t="str">
            <v>Сиаботару</v>
          </cell>
          <cell r="B148" t="str">
            <v>ас.  Джесика Сиаботару</v>
          </cell>
          <cell r="C148" t="str">
            <v>ас.</v>
          </cell>
          <cell r="E148" t="str">
            <v>Джесика</v>
          </cell>
          <cell r="G148" t="str">
            <v>Сиаботару</v>
          </cell>
          <cell r="L148" t="str">
            <v>ХОН</v>
          </cell>
          <cell r="N148"/>
          <cell r="O148">
            <v>2013</v>
          </cell>
        </row>
        <row r="149">
          <cell r="A149">
            <v>0</v>
          </cell>
          <cell r="B149" t="str">
            <v xml:space="preserve">   </v>
          </cell>
          <cell r="L149"/>
          <cell r="N149"/>
          <cell r="O149">
            <v>2013</v>
          </cell>
        </row>
        <row r="150">
          <cell r="A150">
            <v>0</v>
          </cell>
          <cell r="B150" t="str">
            <v xml:space="preserve">   </v>
          </cell>
          <cell r="L150"/>
          <cell r="N150"/>
          <cell r="O150">
            <v>2013</v>
          </cell>
        </row>
        <row r="151">
          <cell r="A151">
            <v>0</v>
          </cell>
          <cell r="B151" t="str">
            <v xml:space="preserve">   </v>
          </cell>
          <cell r="L151"/>
          <cell r="N151"/>
          <cell r="O151">
            <v>2013</v>
          </cell>
        </row>
        <row r="152">
          <cell r="A152">
            <v>0</v>
          </cell>
          <cell r="B152" t="str">
            <v xml:space="preserve">   </v>
          </cell>
          <cell r="L152"/>
          <cell r="N152"/>
          <cell r="O152">
            <v>2013</v>
          </cell>
        </row>
        <row r="153">
          <cell r="A153">
            <v>0</v>
          </cell>
          <cell r="B153" t="str">
            <v xml:space="preserve">   </v>
          </cell>
          <cell r="L153"/>
          <cell r="N153"/>
          <cell r="O153">
            <v>2013</v>
          </cell>
        </row>
        <row r="154">
          <cell r="A154">
            <v>0</v>
          </cell>
          <cell r="B154" t="str">
            <v xml:space="preserve">   </v>
          </cell>
          <cell r="O154">
            <v>51.511627906976742</v>
          </cell>
        </row>
        <row r="155">
          <cell r="A155" t="str">
            <v>Павликянов</v>
          </cell>
          <cell r="B155" t="str">
            <v>проф. дин Кирил Павликянов</v>
          </cell>
          <cell r="C155" t="str">
            <v>проф.</v>
          </cell>
          <cell r="D155" t="str">
            <v>дин</v>
          </cell>
          <cell r="E155" t="str">
            <v>Кирил</v>
          </cell>
          <cell r="F155" t="str">
            <v>Парашкевов</v>
          </cell>
          <cell r="G155" t="str">
            <v>Павликянов</v>
          </cell>
          <cell r="J155" t="str">
            <v>05.04.06 Литеартура на народите на Европа, Америка, Африка, Азия и Австралия</v>
          </cell>
          <cell r="L155" t="str">
            <v>ХОН</v>
          </cell>
          <cell r="M155">
            <v>1964</v>
          </cell>
          <cell r="O155"/>
          <cell r="P155"/>
          <cell r="R155"/>
          <cell r="T155"/>
          <cell r="V155"/>
          <cell r="X155"/>
          <cell r="Z155"/>
        </row>
        <row r="156">
          <cell r="A156" t="str">
            <v>Танева</v>
          </cell>
          <cell r="B156" t="str">
            <v>ас. докт. Красимира Танева</v>
          </cell>
          <cell r="C156" t="str">
            <v>ас.</v>
          </cell>
          <cell r="D156" t="str">
            <v>докт.</v>
          </cell>
          <cell r="E156" t="str">
            <v>Красимира</v>
          </cell>
          <cell r="F156" t="str">
            <v>Танева</v>
          </cell>
          <cell r="G156" t="str">
            <v>Танева</v>
          </cell>
          <cell r="L156" t="str">
            <v>ХОН</v>
          </cell>
          <cell r="N156" t="str">
            <v>05.07.03 Методика на обучението по българска литература</v>
          </cell>
          <cell r="O156"/>
          <cell r="P156"/>
          <cell r="R156"/>
          <cell r="T156"/>
          <cell r="V156"/>
          <cell r="X156"/>
          <cell r="Z156"/>
        </row>
        <row r="157">
          <cell r="A157" t="str">
            <v>Стойчева</v>
          </cell>
          <cell r="B157" t="str">
            <v>ас. докт. Екатерина  Стойчева</v>
          </cell>
          <cell r="C157" t="str">
            <v>ас.</v>
          </cell>
          <cell r="D157" t="str">
            <v>докт.</v>
          </cell>
          <cell r="E157" t="str">
            <v xml:space="preserve">Екатерина </v>
          </cell>
          <cell r="F157" t="str">
            <v xml:space="preserve">Станимирова </v>
          </cell>
          <cell r="G157" t="str">
            <v>Стойчева</v>
          </cell>
          <cell r="L157" t="str">
            <v>ХОН</v>
          </cell>
          <cell r="N157" t="str">
            <v>05.04.02 Българска литература</v>
          </cell>
          <cell r="O157"/>
          <cell r="P157"/>
          <cell r="R157"/>
          <cell r="T157"/>
          <cell r="V157"/>
          <cell r="X157"/>
          <cell r="Z157"/>
        </row>
        <row r="158">
          <cell r="A158" t="str">
            <v>Колева</v>
          </cell>
          <cell r="B158" t="str">
            <v>ас. докт. Канелия  Колева</v>
          </cell>
          <cell r="C158" t="str">
            <v>ас.</v>
          </cell>
          <cell r="D158" t="str">
            <v>докт.</v>
          </cell>
          <cell r="E158" t="str">
            <v xml:space="preserve">Канелия </v>
          </cell>
          <cell r="F158" t="str">
            <v>Георгиева</v>
          </cell>
          <cell r="G158" t="str">
            <v>Колева</v>
          </cell>
          <cell r="L158" t="str">
            <v>ХОН</v>
          </cell>
          <cell r="N158" t="str">
            <v>05.07.03 Методика на обучението по българска литература</v>
          </cell>
          <cell r="O158"/>
          <cell r="P158"/>
          <cell r="R158"/>
          <cell r="T158"/>
          <cell r="V158"/>
          <cell r="X158"/>
          <cell r="Z158"/>
        </row>
        <row r="159">
          <cell r="A159" t="str">
            <v>Грозданова</v>
          </cell>
          <cell r="B159" t="str">
            <v>ас. докт. Евелина  Грозданова</v>
          </cell>
          <cell r="C159" t="str">
            <v>ас.</v>
          </cell>
          <cell r="D159" t="str">
            <v>докт.</v>
          </cell>
          <cell r="E159" t="str">
            <v xml:space="preserve">Евелина </v>
          </cell>
          <cell r="F159" t="str">
            <v>Колева</v>
          </cell>
          <cell r="G159" t="str">
            <v>Грозданова</v>
          </cell>
          <cell r="H159"/>
          <cell r="L159" t="str">
            <v>ХОН</v>
          </cell>
          <cell r="N159" t="str">
            <v>05.04.18 Славянски езици</v>
          </cell>
          <cell r="O159"/>
          <cell r="P159"/>
          <cell r="R159"/>
          <cell r="T159"/>
          <cell r="V159"/>
          <cell r="X159"/>
          <cell r="Z159"/>
        </row>
        <row r="160">
          <cell r="A160" t="str">
            <v>Клинкова</v>
          </cell>
          <cell r="B160" t="str">
            <v>ас. докт. Петя  Клинкова</v>
          </cell>
          <cell r="C160" t="str">
            <v>ас.</v>
          </cell>
          <cell r="D160" t="str">
            <v>докт.</v>
          </cell>
          <cell r="E160" t="str">
            <v xml:space="preserve">Петя </v>
          </cell>
          <cell r="F160" t="str">
            <v>Сашева</v>
          </cell>
          <cell r="G160" t="str">
            <v>Клинкова</v>
          </cell>
          <cell r="L160" t="str">
            <v>ХОН</v>
          </cell>
          <cell r="N160" t="str">
            <v>05.04.18 Славянски езици</v>
          </cell>
          <cell r="O160"/>
          <cell r="P160"/>
          <cell r="R160"/>
          <cell r="T160"/>
          <cell r="V160"/>
          <cell r="X160"/>
          <cell r="Z160"/>
        </row>
        <row r="161">
          <cell r="A161" t="str">
            <v>Ненчева</v>
          </cell>
          <cell r="B161" t="str">
            <v>ас. докт. Елисавета Ненчева</v>
          </cell>
          <cell r="C161" t="str">
            <v>ас.</v>
          </cell>
          <cell r="D161" t="str">
            <v>докт.</v>
          </cell>
          <cell r="E161" t="str">
            <v>Елисавета</v>
          </cell>
          <cell r="F161" t="str">
            <v>Ненчева</v>
          </cell>
          <cell r="G161" t="str">
            <v>Ненчева</v>
          </cell>
          <cell r="L161" t="str">
            <v>ХОН</v>
          </cell>
          <cell r="N161" t="str">
            <v>05.04.06 Литература на народите на Европа, Америка, Африка, Азия и Австралия</v>
          </cell>
          <cell r="O161"/>
          <cell r="P161"/>
          <cell r="R161"/>
          <cell r="T161"/>
          <cell r="V161"/>
          <cell r="X161"/>
          <cell r="Z161"/>
        </row>
        <row r="162">
          <cell r="A162" t="str">
            <v>Иванова</v>
          </cell>
          <cell r="B162" t="str">
            <v>ас. докт. Владислава Иванова</v>
          </cell>
          <cell r="C162" t="str">
            <v>ас.</v>
          </cell>
          <cell r="D162" t="str">
            <v>докт.</v>
          </cell>
          <cell r="E162" t="str">
            <v>Владислава</v>
          </cell>
          <cell r="F162" t="str">
            <v>Вескова</v>
          </cell>
          <cell r="G162" t="str">
            <v>Иванова</v>
          </cell>
          <cell r="L162" t="str">
            <v>ХОН</v>
          </cell>
          <cell r="N162" t="str">
            <v>05.04.03 Руска литература и литература на народите на СССР</v>
          </cell>
          <cell r="O162"/>
          <cell r="P162"/>
          <cell r="R162"/>
          <cell r="T162"/>
          <cell r="V162"/>
          <cell r="X162"/>
          <cell r="Z162"/>
        </row>
        <row r="163">
          <cell r="A163" t="str">
            <v>Нейчева</v>
          </cell>
          <cell r="B163" t="str">
            <v>ас. докт. Елена  Нейчева</v>
          </cell>
          <cell r="C163" t="str">
            <v>ас.</v>
          </cell>
          <cell r="D163" t="str">
            <v>докт.</v>
          </cell>
          <cell r="E163" t="str">
            <v xml:space="preserve">Елена </v>
          </cell>
          <cell r="F163" t="str">
            <v>Костадинова</v>
          </cell>
          <cell r="G163" t="str">
            <v>Нейчева</v>
          </cell>
          <cell r="L163" t="str">
            <v>ХОН</v>
          </cell>
          <cell r="N163" t="str">
            <v>05.04.18 Славянски езици</v>
          </cell>
          <cell r="O163"/>
          <cell r="P163"/>
          <cell r="R163"/>
          <cell r="T163"/>
          <cell r="V163"/>
          <cell r="X163"/>
          <cell r="Z163"/>
        </row>
        <row r="164">
          <cell r="A164" t="str">
            <v>Тенчева</v>
          </cell>
          <cell r="B164" t="str">
            <v>ас. докт. Боряна Тенчева</v>
          </cell>
          <cell r="C164" t="str">
            <v>ас.</v>
          </cell>
          <cell r="D164" t="str">
            <v>докт.</v>
          </cell>
          <cell r="E164" t="str">
            <v>Боряна</v>
          </cell>
          <cell r="F164" t="str">
            <v>Тенчева</v>
          </cell>
          <cell r="G164" t="str">
            <v>Тенчева</v>
          </cell>
          <cell r="L164" t="str">
            <v>ХОН</v>
          </cell>
          <cell r="N164" t="str">
            <v>05.04.18 Славянски езици</v>
          </cell>
          <cell r="O164"/>
          <cell r="P164"/>
          <cell r="R164"/>
          <cell r="T164"/>
          <cell r="V164"/>
          <cell r="X164"/>
          <cell r="Z164"/>
        </row>
        <row r="165">
          <cell r="A165" t="str">
            <v>Солтиров</v>
          </cell>
          <cell r="B165" t="str">
            <v>ас. докт. Илия  Солтиров</v>
          </cell>
          <cell r="C165" t="str">
            <v>ас.</v>
          </cell>
          <cell r="D165" t="str">
            <v>докт.</v>
          </cell>
          <cell r="E165" t="str">
            <v xml:space="preserve">Илия </v>
          </cell>
          <cell r="F165" t="str">
            <v>Цанков</v>
          </cell>
          <cell r="G165" t="str">
            <v>Солтиров</v>
          </cell>
          <cell r="L165" t="str">
            <v>ХОН</v>
          </cell>
          <cell r="N165" t="str">
            <v>05.04.18 Славянски езици</v>
          </cell>
          <cell r="O165"/>
          <cell r="P165"/>
          <cell r="R165"/>
          <cell r="T165"/>
          <cell r="V165"/>
          <cell r="X165"/>
          <cell r="Z165"/>
        </row>
        <row r="166">
          <cell r="A166" t="str">
            <v>Джамбазова</v>
          </cell>
          <cell r="B166" t="str">
            <v>ас. докт. Илиана Джамбазова</v>
          </cell>
          <cell r="C166" t="str">
            <v>ас.</v>
          </cell>
          <cell r="D166" t="str">
            <v>докт.</v>
          </cell>
          <cell r="E166" t="str">
            <v>Илиана</v>
          </cell>
          <cell r="F166" t="str">
            <v>Димитрова</v>
          </cell>
          <cell r="G166" t="str">
            <v>Джамбазова</v>
          </cell>
          <cell r="L166" t="str">
            <v>ХОН</v>
          </cell>
          <cell r="N166" t="str">
            <v>05.04.11 Общо и сравнително езикознание</v>
          </cell>
          <cell r="O166"/>
          <cell r="P166"/>
          <cell r="R166"/>
          <cell r="T166"/>
          <cell r="V166"/>
          <cell r="X166"/>
          <cell r="Z166"/>
        </row>
        <row r="167">
          <cell r="A167" t="str">
            <v>Нецова</v>
          </cell>
          <cell r="B167" t="str">
            <v>ас. докт. Милена Нецова</v>
          </cell>
          <cell r="C167" t="str">
            <v>ас.</v>
          </cell>
          <cell r="D167" t="str">
            <v>докт.</v>
          </cell>
          <cell r="E167" t="str">
            <v>Милена</v>
          </cell>
          <cell r="F167" t="str">
            <v>Пенчева</v>
          </cell>
          <cell r="G167" t="str">
            <v>Нецова</v>
          </cell>
          <cell r="L167" t="str">
            <v>ХОН</v>
          </cell>
          <cell r="N167" t="str">
            <v>05.04.11 Общо и сравнително езикознание</v>
          </cell>
          <cell r="O167"/>
          <cell r="P167"/>
          <cell r="R167"/>
          <cell r="T167"/>
          <cell r="V167"/>
          <cell r="X167"/>
          <cell r="Z167"/>
        </row>
        <row r="168">
          <cell r="A168" t="str">
            <v>Кривчев</v>
          </cell>
          <cell r="B168" t="str">
            <v>ас. докт. Петър  Кривчев</v>
          </cell>
          <cell r="C168" t="str">
            <v>ас.</v>
          </cell>
          <cell r="D168" t="str">
            <v>докт.</v>
          </cell>
          <cell r="E168" t="str">
            <v xml:space="preserve">Петър </v>
          </cell>
          <cell r="F168" t="str">
            <v>Стефанов</v>
          </cell>
          <cell r="G168" t="str">
            <v>Кривчев</v>
          </cell>
          <cell r="L168" t="str">
            <v>ХОН</v>
          </cell>
          <cell r="N168" t="str">
            <v>05.04.17 Български език</v>
          </cell>
          <cell r="O168"/>
          <cell r="P168"/>
          <cell r="R168"/>
          <cell r="T168"/>
          <cell r="V168"/>
          <cell r="X168"/>
          <cell r="Z168"/>
        </row>
        <row r="169">
          <cell r="A169" t="str">
            <v>Спасов</v>
          </cell>
          <cell r="B169" t="str">
            <v>ас. докт. Стойно  Спасов</v>
          </cell>
          <cell r="C169" t="str">
            <v>ас.</v>
          </cell>
          <cell r="D169" t="str">
            <v>докт.</v>
          </cell>
          <cell r="E169" t="str">
            <v xml:space="preserve">Стойно </v>
          </cell>
          <cell r="F169" t="str">
            <v>Стефанов</v>
          </cell>
          <cell r="G169" t="str">
            <v>Спасов</v>
          </cell>
          <cell r="L169" t="str">
            <v>ХОН</v>
          </cell>
          <cell r="N169" t="str">
            <v>05.04.11 Общо и сравнително езикознание</v>
          </cell>
          <cell r="O169"/>
          <cell r="P169"/>
          <cell r="R169"/>
          <cell r="T169"/>
          <cell r="V169"/>
          <cell r="X169"/>
          <cell r="Z169"/>
        </row>
        <row r="170">
          <cell r="A170" t="str">
            <v>Иванова</v>
          </cell>
          <cell r="B170" t="str">
            <v>ас. докт. Таня Иванова</v>
          </cell>
          <cell r="C170" t="str">
            <v>ас.</v>
          </cell>
          <cell r="D170" t="str">
            <v>докт.</v>
          </cell>
          <cell r="E170" t="str">
            <v>Таня</v>
          </cell>
          <cell r="F170" t="str">
            <v>Георгиева</v>
          </cell>
          <cell r="G170" t="str">
            <v>Иванова</v>
          </cell>
          <cell r="L170" t="str">
            <v>ХОН</v>
          </cell>
          <cell r="N170" t="str">
            <v>05.04.11 Общо и сравнително езикознание</v>
          </cell>
          <cell r="O170"/>
          <cell r="P170"/>
          <cell r="R170"/>
          <cell r="T170"/>
          <cell r="V170"/>
          <cell r="X170"/>
          <cell r="Z170"/>
        </row>
        <row r="171">
          <cell r="A171" t="str">
            <v>Ламбрева</v>
          </cell>
          <cell r="B171" t="str">
            <v>ас. докт. Иванка Ламбрева</v>
          </cell>
          <cell r="C171" t="str">
            <v>ас.</v>
          </cell>
          <cell r="D171" t="str">
            <v>докт.</v>
          </cell>
          <cell r="E171" t="str">
            <v>Иванка</v>
          </cell>
          <cell r="F171" t="str">
            <v>Георгиева</v>
          </cell>
          <cell r="G171" t="str">
            <v>Ламбрева</v>
          </cell>
          <cell r="L171" t="str">
            <v>ХОН</v>
          </cell>
          <cell r="N171" t="str">
            <v>05.04.11 Общо и сравнително езикознание</v>
          </cell>
          <cell r="O171"/>
          <cell r="P171"/>
          <cell r="R171"/>
          <cell r="T171"/>
          <cell r="V171"/>
          <cell r="X171"/>
          <cell r="Z171"/>
        </row>
        <row r="172">
          <cell r="A172" t="str">
            <v>Петкова</v>
          </cell>
          <cell r="B172" t="str">
            <v>ас. д-р Екатерина  Петкова</v>
          </cell>
          <cell r="C172" t="str">
            <v>ас.</v>
          </cell>
          <cell r="D172" t="str">
            <v>д-р</v>
          </cell>
          <cell r="E172" t="str">
            <v xml:space="preserve">Екатерина </v>
          </cell>
          <cell r="F172" t="str">
            <v>Иванова</v>
          </cell>
          <cell r="G172" t="str">
            <v>Петкова</v>
          </cell>
          <cell r="H172" t="str">
            <v>05.07.03 Методика на обучението по българска литература</v>
          </cell>
          <cell r="L172" t="str">
            <v>ХОН</v>
          </cell>
          <cell r="N172" t="str">
            <v>05.07.03 Методика на обучението по българска литература</v>
          </cell>
          <cell r="O172"/>
          <cell r="P172"/>
          <cell r="R172"/>
          <cell r="T172"/>
          <cell r="V172"/>
          <cell r="X172"/>
          <cell r="Z172"/>
        </row>
        <row r="173">
          <cell r="A173" t="str">
            <v>Василева</v>
          </cell>
          <cell r="B173" t="str">
            <v>проф. д-р Светлана Василева</v>
          </cell>
          <cell r="C173" t="str">
            <v>проф.</v>
          </cell>
          <cell r="D173" t="str">
            <v>д-р</v>
          </cell>
          <cell r="E173" t="str">
            <v>Светлана</v>
          </cell>
          <cell r="F173" t="str">
            <v>Стойчева</v>
          </cell>
          <cell r="G173" t="str">
            <v>Василева</v>
          </cell>
          <cell r="L173" t="str">
            <v>ХОН</v>
          </cell>
          <cell r="O173"/>
          <cell r="P173"/>
          <cell r="R173"/>
          <cell r="T173"/>
          <cell r="V173"/>
          <cell r="X173"/>
          <cell r="Z173"/>
        </row>
        <row r="174">
          <cell r="A174" t="str">
            <v>Стоименова</v>
          </cell>
          <cell r="B174" t="str">
            <v>гл. ас. д-р Бисерка Стоименова</v>
          </cell>
          <cell r="C174" t="str">
            <v>гл. ас.</v>
          </cell>
          <cell r="D174" t="str">
            <v>д-р</v>
          </cell>
          <cell r="E174" t="str">
            <v>Бисерка</v>
          </cell>
          <cell r="F174" t="str">
            <v>Илиева</v>
          </cell>
          <cell r="G174" t="str">
            <v>Стоименова</v>
          </cell>
          <cell r="H174" t="str">
            <v>05.04.06 Литерартура на народите на Европа, Америка, АФРИКА, Ази яи Австралия</v>
          </cell>
          <cell r="L174" t="str">
            <v>ХОН</v>
          </cell>
          <cell r="M174"/>
          <cell r="N174" t="str">
            <v>05.04.06 Литература на народите на Европа, Америка, Африка, Азия и Австралия</v>
          </cell>
          <cell r="O174"/>
          <cell r="P174"/>
          <cell r="R174"/>
          <cell r="T174"/>
          <cell r="V174"/>
          <cell r="X174"/>
          <cell r="Z174"/>
        </row>
        <row r="175">
          <cell r="A175" t="str">
            <v>Динева</v>
          </cell>
          <cell r="B175" t="str">
            <v>ас. д-р Милена Динева</v>
          </cell>
          <cell r="C175" t="str">
            <v>ас.</v>
          </cell>
          <cell r="D175" t="str">
            <v>д-р</v>
          </cell>
          <cell r="E175" t="str">
            <v>Милена</v>
          </cell>
          <cell r="F175" t="str">
            <v>Георгиева</v>
          </cell>
          <cell r="G175" t="str">
            <v>Динева</v>
          </cell>
          <cell r="H175" t="str">
            <v>05.04.02 Българаска литература</v>
          </cell>
          <cell r="L175" t="str">
            <v>ХОН</v>
          </cell>
          <cell r="N175" t="str">
            <v>05.04.06 Българска литература</v>
          </cell>
          <cell r="O175"/>
          <cell r="P175"/>
          <cell r="R175"/>
          <cell r="T175"/>
          <cell r="V175"/>
          <cell r="X175"/>
          <cell r="Z175"/>
        </row>
        <row r="176">
          <cell r="A176" t="str">
            <v>Коева</v>
          </cell>
          <cell r="B176" t="str">
            <v>проф. д-р Светлана Коева</v>
          </cell>
          <cell r="C176" t="str">
            <v>проф.</v>
          </cell>
          <cell r="D176" t="str">
            <v>д-р</v>
          </cell>
          <cell r="E176" t="str">
            <v>Светлана</v>
          </cell>
          <cell r="F176" t="str">
            <v>Пенева</v>
          </cell>
          <cell r="G176" t="str">
            <v>Коева</v>
          </cell>
          <cell r="H176" t="str">
            <v>05.04.17 Български език</v>
          </cell>
          <cell r="J176" t="str">
            <v>05.04.17 Български език</v>
          </cell>
          <cell r="L176" t="str">
            <v>ХОН</v>
          </cell>
          <cell r="O176"/>
          <cell r="P176"/>
          <cell r="R176"/>
          <cell r="T176"/>
          <cell r="V176"/>
          <cell r="X176"/>
          <cell r="Z176"/>
        </row>
        <row r="177">
          <cell r="A177" t="str">
            <v>Добрева</v>
          </cell>
          <cell r="B177" t="str">
            <v>ас. д-р Милена Добрева</v>
          </cell>
          <cell r="C177" t="str">
            <v>ас.</v>
          </cell>
          <cell r="D177" t="str">
            <v>д-р</v>
          </cell>
          <cell r="E177" t="str">
            <v>Милена</v>
          </cell>
          <cell r="F177" t="str">
            <v>Петрова</v>
          </cell>
          <cell r="G177" t="str">
            <v>Добрева</v>
          </cell>
          <cell r="L177" t="str">
            <v>ХОН</v>
          </cell>
          <cell r="O177"/>
          <cell r="P177"/>
          <cell r="R177"/>
          <cell r="T177"/>
          <cell r="V177"/>
          <cell r="X177"/>
          <cell r="Z177"/>
        </row>
        <row r="178">
          <cell r="A178" t="str">
            <v>Маринов</v>
          </cell>
          <cell r="B178" t="str">
            <v>ас. д-р Ангел Маринов</v>
          </cell>
          <cell r="C178" t="str">
            <v>ас.</v>
          </cell>
          <cell r="D178" t="str">
            <v>д-р</v>
          </cell>
          <cell r="E178" t="str">
            <v>Ангел</v>
          </cell>
          <cell r="F178" t="str">
            <v>Маринов</v>
          </cell>
          <cell r="G178" t="str">
            <v>Маринов</v>
          </cell>
          <cell r="H178" t="str">
            <v>05.04.18 Славянски езици</v>
          </cell>
          <cell r="L178" t="str">
            <v>ХОН</v>
          </cell>
          <cell r="O178"/>
          <cell r="P178"/>
          <cell r="R178"/>
          <cell r="T178"/>
          <cell r="V178"/>
          <cell r="X178"/>
          <cell r="Z178"/>
        </row>
        <row r="179">
          <cell r="A179" t="str">
            <v>Пенчев</v>
          </cell>
          <cell r="B179" t="str">
            <v>доц. д-р Владимир Пенчев</v>
          </cell>
          <cell r="C179" t="str">
            <v>доц.</v>
          </cell>
          <cell r="D179" t="str">
            <v>д-р</v>
          </cell>
          <cell r="E179" t="str">
            <v>Владимир</v>
          </cell>
          <cell r="F179" t="str">
            <v>Георгиев</v>
          </cell>
          <cell r="G179" t="str">
            <v>Пенчев</v>
          </cell>
          <cell r="H179" t="str">
            <v>05.04.09 Фолклористика (български фолклор, славянски фолклор)</v>
          </cell>
          <cell r="K179" t="str">
            <v>05.04.09 Фолклористика (български фолклор, славянски фолклор)</v>
          </cell>
          <cell r="L179" t="str">
            <v>ХОН</v>
          </cell>
          <cell r="O179"/>
          <cell r="P179"/>
          <cell r="R179"/>
          <cell r="T179"/>
          <cell r="V179"/>
          <cell r="X179"/>
          <cell r="Z179"/>
        </row>
        <row r="180">
          <cell r="A180" t="str">
            <v>Бахнева</v>
          </cell>
          <cell r="B180" t="str">
            <v>доц. д-р Калина Бахнева</v>
          </cell>
          <cell r="C180" t="str">
            <v>доц.</v>
          </cell>
          <cell r="D180" t="str">
            <v>д-р</v>
          </cell>
          <cell r="E180" t="str">
            <v>Калина</v>
          </cell>
          <cell r="F180" t="str">
            <v>Бахнева</v>
          </cell>
          <cell r="G180" t="str">
            <v>Бахнева</v>
          </cell>
          <cell r="H180" t="str">
            <v>05.04.06 Литерартура на народите на Европа, Америка, АФРИКА, Ази яи Австралия</v>
          </cell>
          <cell r="K180" t="str">
            <v>05.04.06 Литература на народите на Европа, Америка, Африка, Азия и Австралия</v>
          </cell>
          <cell r="L180" t="str">
            <v>ХОН</v>
          </cell>
          <cell r="O180"/>
          <cell r="P180"/>
          <cell r="R180"/>
          <cell r="T180"/>
          <cell r="V180"/>
          <cell r="X180"/>
          <cell r="Z180"/>
        </row>
        <row r="181">
          <cell r="A181" t="str">
            <v>Аврамова</v>
          </cell>
          <cell r="B181" t="str">
            <v>гл. ас. д-р Цветанка  Аврамова</v>
          </cell>
          <cell r="C181" t="str">
            <v>гл. ас.</v>
          </cell>
          <cell r="D181" t="str">
            <v>д-р</v>
          </cell>
          <cell r="E181" t="str">
            <v xml:space="preserve">Цветанка </v>
          </cell>
          <cell r="F181" t="str">
            <v xml:space="preserve">Димчова </v>
          </cell>
          <cell r="G181" t="str">
            <v>Аврамова</v>
          </cell>
          <cell r="H181" t="str">
            <v>05.04.18 Славянски езици</v>
          </cell>
          <cell r="L181" t="str">
            <v>ХОН</v>
          </cell>
          <cell r="M181"/>
          <cell r="N181" t="str">
            <v>05.04.18 Славянски езици</v>
          </cell>
          <cell r="O181"/>
          <cell r="P181"/>
          <cell r="R181"/>
          <cell r="T181"/>
          <cell r="V181"/>
          <cell r="X181"/>
          <cell r="Z181"/>
        </row>
        <row r="182">
          <cell r="A182" t="str">
            <v>Станкевич</v>
          </cell>
          <cell r="B182" t="str">
            <v>ас. д-р Роза Станкевич</v>
          </cell>
          <cell r="C182" t="str">
            <v>ас.</v>
          </cell>
          <cell r="D182" t="str">
            <v>д-р</v>
          </cell>
          <cell r="E182" t="str">
            <v>Роза</v>
          </cell>
          <cell r="F182" t="str">
            <v xml:space="preserve">Тодорова </v>
          </cell>
          <cell r="G182" t="str">
            <v>Станкевич</v>
          </cell>
          <cell r="H182" t="str">
            <v>05.04.18 Славянски езици</v>
          </cell>
          <cell r="L182" t="str">
            <v>ХОН</v>
          </cell>
          <cell r="N182" t="str">
            <v>05.04.18 Славянски езици</v>
          </cell>
          <cell r="O182"/>
          <cell r="P182"/>
          <cell r="R182"/>
          <cell r="T182"/>
          <cell r="V182"/>
          <cell r="X182"/>
          <cell r="Z182"/>
        </row>
        <row r="183">
          <cell r="A183" t="str">
            <v>Злачева-Кондрашова</v>
          </cell>
          <cell r="B183" t="str">
            <v>доц. д-р Спаска Злачева-Кондрашова</v>
          </cell>
          <cell r="C183" t="str">
            <v>доц.</v>
          </cell>
          <cell r="D183" t="str">
            <v>д-р</v>
          </cell>
          <cell r="E183" t="str">
            <v>Спаска</v>
          </cell>
          <cell r="F183" t="str">
            <v>Илиева</v>
          </cell>
          <cell r="G183" t="str">
            <v>Злачева-Кондрашова</v>
          </cell>
          <cell r="H183" t="str">
            <v>05.04.18 Славянски езици</v>
          </cell>
          <cell r="K183" t="str">
            <v>05.04.18 Славянски езици</v>
          </cell>
          <cell r="L183" t="str">
            <v>ХОН</v>
          </cell>
          <cell r="O183"/>
          <cell r="P183"/>
          <cell r="R183"/>
          <cell r="T183"/>
          <cell r="V183"/>
          <cell r="X183"/>
          <cell r="Z183"/>
        </row>
        <row r="184">
          <cell r="A184" t="str">
            <v>Атанасова</v>
          </cell>
          <cell r="B184" t="str">
            <v>ас. д-р Радка Атанасова</v>
          </cell>
          <cell r="C184" t="str">
            <v>ас.</v>
          </cell>
          <cell r="D184" t="str">
            <v>д-р</v>
          </cell>
          <cell r="E184" t="str">
            <v>Радка</v>
          </cell>
          <cell r="F184" t="str">
            <v>Николова</v>
          </cell>
          <cell r="G184" t="str">
            <v>Атанасова</v>
          </cell>
          <cell r="H184" t="str">
            <v>05.04.18 Славянски езици</v>
          </cell>
          <cell r="L184" t="str">
            <v>ХОН</v>
          </cell>
          <cell r="N184" t="str">
            <v>05.04.18 Славянски езици</v>
          </cell>
          <cell r="O184"/>
          <cell r="P184"/>
          <cell r="R184"/>
          <cell r="T184"/>
          <cell r="V184"/>
          <cell r="X184"/>
          <cell r="Z184"/>
        </row>
        <row r="185">
          <cell r="A185" t="str">
            <v>Костова</v>
          </cell>
          <cell r="B185" t="str">
            <v>доц. д-р Людмила Костова</v>
          </cell>
          <cell r="C185" t="str">
            <v>доц.</v>
          </cell>
          <cell r="D185" t="str">
            <v>д-р</v>
          </cell>
          <cell r="E185" t="str">
            <v>Людмила</v>
          </cell>
          <cell r="F185" t="str">
            <v>Константинова</v>
          </cell>
          <cell r="G185" t="str">
            <v>Костова</v>
          </cell>
          <cell r="H185" t="str">
            <v>05.04.06 Литерартура на народите на Европа, Америка, АФРИКА, Ази яи Австралия</v>
          </cell>
          <cell r="K185" t="str">
            <v>05.04.06 Литература на народите на Европа, Америка, Африка, Азия и Австралия</v>
          </cell>
          <cell r="L185" t="str">
            <v>ХОН</v>
          </cell>
          <cell r="O185"/>
          <cell r="P185"/>
          <cell r="R185"/>
          <cell r="T185"/>
          <cell r="V185"/>
          <cell r="X185"/>
          <cell r="Z185"/>
        </row>
        <row r="186">
          <cell r="A186" t="str">
            <v>Хейз</v>
          </cell>
          <cell r="B186" t="str">
            <v>ас. д-р Алистър Хейз</v>
          </cell>
          <cell r="C186" t="str">
            <v>ас.</v>
          </cell>
          <cell r="D186" t="str">
            <v>д-р</v>
          </cell>
          <cell r="E186" t="str">
            <v>Алистър</v>
          </cell>
          <cell r="G186" t="str">
            <v>Хейз</v>
          </cell>
          <cell r="H186" t="str">
            <v>05.04.06 Литерартура на народите на Европа, Америка, АФРИКА, Ази яи Австралия</v>
          </cell>
          <cell r="L186" t="str">
            <v>ХОН</v>
          </cell>
          <cell r="O186"/>
          <cell r="P186"/>
          <cell r="R186"/>
          <cell r="T186"/>
          <cell r="V186"/>
          <cell r="X186"/>
          <cell r="Z186"/>
        </row>
        <row r="187">
          <cell r="A187" t="str">
            <v>Хачикян</v>
          </cell>
          <cell r="B187" t="str">
            <v>доц.  д-р Хачик Хачикян</v>
          </cell>
          <cell r="C187" t="str">
            <v xml:space="preserve">доц. </v>
          </cell>
          <cell r="D187" t="str">
            <v>д-р</v>
          </cell>
          <cell r="E187" t="str">
            <v>Хачик</v>
          </cell>
          <cell r="F187" t="str">
            <v>Дикран</v>
          </cell>
          <cell r="G187" t="str">
            <v>Хачикян</v>
          </cell>
          <cell r="H187" t="str">
            <v>05.07.03 Методика на обучението по френски език и литература</v>
          </cell>
          <cell r="K187" t="str">
            <v>05.07.03 Методика на обучението по френски език и литература</v>
          </cell>
          <cell r="L187" t="str">
            <v>ХОН</v>
          </cell>
          <cell r="O187"/>
          <cell r="P187"/>
          <cell r="R187"/>
          <cell r="T187"/>
          <cell r="V187"/>
          <cell r="X187"/>
          <cell r="Z187"/>
        </row>
        <row r="188">
          <cell r="A188" t="str">
            <v>Илиева-Сивкова</v>
          </cell>
          <cell r="B188" t="str">
            <v>доц. д-р Людмила Илиева-Сивкова</v>
          </cell>
          <cell r="C188" t="str">
            <v>доц.</v>
          </cell>
          <cell r="D188" t="str">
            <v>д-р</v>
          </cell>
          <cell r="E188" t="str">
            <v>Людмила</v>
          </cell>
          <cell r="F188" t="str">
            <v>Борисова</v>
          </cell>
          <cell r="G188" t="str">
            <v>Илиева-Сивкова</v>
          </cell>
          <cell r="H188" t="str">
            <v>05.04.16 Теория и практика на превода</v>
          </cell>
          <cell r="L188" t="str">
            <v>ХОН</v>
          </cell>
          <cell r="O188"/>
          <cell r="P188"/>
          <cell r="R188"/>
          <cell r="T188"/>
          <cell r="V188"/>
          <cell r="X188"/>
          <cell r="Z188"/>
        </row>
        <row r="189">
          <cell r="A189" t="str">
            <v>Димитрова</v>
          </cell>
          <cell r="B189" t="str">
            <v>гл. ас. д-р Кана Димитрова</v>
          </cell>
          <cell r="C189" t="str">
            <v>гл. ас.</v>
          </cell>
          <cell r="D189" t="str">
            <v>д-р</v>
          </cell>
          <cell r="E189" t="str">
            <v>Кана</v>
          </cell>
          <cell r="F189" t="str">
            <v>Иванова</v>
          </cell>
          <cell r="G189" t="str">
            <v>Димитрова</v>
          </cell>
          <cell r="H189" t="str">
            <v>05.04.20 Германски езици</v>
          </cell>
          <cell r="L189" t="str">
            <v>ХОН</v>
          </cell>
          <cell r="M189"/>
          <cell r="N189" t="str">
            <v>05.04.20 Германски езици</v>
          </cell>
          <cell r="O189"/>
          <cell r="P189"/>
          <cell r="R189"/>
          <cell r="T189"/>
          <cell r="V189"/>
          <cell r="X189"/>
          <cell r="Z189"/>
        </row>
        <row r="190">
          <cell r="A190" t="str">
            <v>Плахова</v>
          </cell>
          <cell r="B190" t="str">
            <v>доц. д-р Албена Плахова</v>
          </cell>
          <cell r="C190" t="str">
            <v>доц.</v>
          </cell>
          <cell r="D190" t="str">
            <v>д-р</v>
          </cell>
          <cell r="E190" t="str">
            <v>Албена</v>
          </cell>
          <cell r="F190" t="str">
            <v>Йорданова</v>
          </cell>
          <cell r="G190" t="str">
            <v>Плахова</v>
          </cell>
          <cell r="H190" t="str">
            <v>05.04.01 Теория и история на литературата</v>
          </cell>
          <cell r="L190" t="str">
            <v>ХОН</v>
          </cell>
          <cell r="O190"/>
          <cell r="P190"/>
          <cell r="R190"/>
          <cell r="T190"/>
          <cell r="V190"/>
          <cell r="X190"/>
          <cell r="Z190"/>
        </row>
        <row r="191">
          <cell r="A191" t="str">
            <v xml:space="preserve">Добрев </v>
          </cell>
          <cell r="B191" t="str">
            <v xml:space="preserve">проф. д-р Иван  Добрев </v>
          </cell>
          <cell r="C191" t="str">
            <v>проф.</v>
          </cell>
          <cell r="D191" t="str">
            <v>д-р</v>
          </cell>
          <cell r="E191" t="str">
            <v xml:space="preserve">Иван </v>
          </cell>
          <cell r="F191" t="str">
            <v>Калчев</v>
          </cell>
          <cell r="G191" t="str">
            <v xml:space="preserve">Добрев </v>
          </cell>
          <cell r="H191" t="str">
            <v>05.04.23 Ирански езици, семитско-хамитски езици, тюркски, монголски езици, угро-фински езици</v>
          </cell>
          <cell r="J191" t="str">
            <v>05.04.23 Ирански езици, семтиско-хамитски езици, тюркски, монголски езици, угро-фински езици</v>
          </cell>
          <cell r="L191" t="str">
            <v>ХОН</v>
          </cell>
          <cell r="O191"/>
          <cell r="P191"/>
          <cell r="R191"/>
          <cell r="T191"/>
          <cell r="V191"/>
          <cell r="X191"/>
          <cell r="Z191"/>
        </row>
        <row r="192">
          <cell r="A192" t="str">
            <v>Пороманска</v>
          </cell>
          <cell r="B192" t="str">
            <v>проф. д-р Стойна Пороманска</v>
          </cell>
          <cell r="C192" t="str">
            <v>проф.</v>
          </cell>
          <cell r="D192" t="str">
            <v>д-р</v>
          </cell>
          <cell r="E192" t="str">
            <v>Стойна</v>
          </cell>
          <cell r="F192" t="str">
            <v>Вълчева</v>
          </cell>
          <cell r="G192" t="str">
            <v>Пороманска</v>
          </cell>
          <cell r="H192" t="str">
            <v>05.04.11 Общо и сравнително езикознание</v>
          </cell>
          <cell r="J192" t="str">
            <v>05.04.11 Общо и сравнително езикознание</v>
          </cell>
          <cell r="L192" t="str">
            <v>ОТД</v>
          </cell>
          <cell r="M192">
            <v>1939</v>
          </cell>
          <cell r="O192"/>
          <cell r="P192"/>
          <cell r="R192"/>
          <cell r="T192"/>
          <cell r="V192"/>
          <cell r="X192"/>
          <cell r="Z192"/>
        </row>
        <row r="193">
          <cell r="A193" t="str">
            <v>Герджикова</v>
          </cell>
          <cell r="B193" t="str">
            <v>доц. д-р Виолета Герджикова</v>
          </cell>
          <cell r="C193" t="str">
            <v>доц.</v>
          </cell>
          <cell r="D193" t="str">
            <v>д-р</v>
          </cell>
          <cell r="E193" t="str">
            <v>Виолета</v>
          </cell>
          <cell r="F193" t="str">
            <v>Петрова</v>
          </cell>
          <cell r="G193" t="str">
            <v>Герджикова</v>
          </cell>
          <cell r="H193" t="str">
            <v>05.04.06 Литерартура на народите на Европа, Америка, АФРИКА, Ази яи Австралия</v>
          </cell>
          <cell r="K193" t="str">
            <v>05.04.06 Литература на народите на Европа, Америка, Африка, Азия и Австралия</v>
          </cell>
          <cell r="L193" t="str">
            <v>ХОН</v>
          </cell>
          <cell r="O193"/>
          <cell r="P193"/>
          <cell r="R193"/>
          <cell r="T193"/>
          <cell r="V193"/>
          <cell r="X193"/>
          <cell r="Z193"/>
        </row>
        <row r="194">
          <cell r="A194" t="str">
            <v>Явузаслан</v>
          </cell>
          <cell r="B194" t="str">
            <v>доц. д-р Паша Явузаслан</v>
          </cell>
          <cell r="C194" t="str">
            <v>доц.</v>
          </cell>
          <cell r="D194" t="str">
            <v>д-р</v>
          </cell>
          <cell r="E194" t="str">
            <v>Паша</v>
          </cell>
          <cell r="G194" t="str">
            <v>Явузаслан</v>
          </cell>
          <cell r="H194" t="str">
            <v>05.04.23 Ирански езици, семитско-хамитски езици, тюркски, монголски езици, угро-фински езици</v>
          </cell>
          <cell r="J194" t="str">
            <v>05.04.23 Ирански езици, семитско-хамитски езици, тюркски, монголски езици, угро-фински езици</v>
          </cell>
          <cell r="L194" t="str">
            <v>ХОН</v>
          </cell>
          <cell r="O194"/>
          <cell r="P194"/>
          <cell r="R194"/>
          <cell r="T194"/>
          <cell r="V194"/>
          <cell r="X194"/>
          <cell r="Z194"/>
        </row>
        <row r="195">
          <cell r="A195" t="str">
            <v>Недялкова-Сиракова</v>
          </cell>
          <cell r="B195" t="str">
            <v>гл. ас. д-р Йоана Недялкова-Сиракова</v>
          </cell>
          <cell r="C195" t="str">
            <v>гл. ас.</v>
          </cell>
          <cell r="D195" t="str">
            <v>д-р</v>
          </cell>
          <cell r="E195" t="str">
            <v>Йоана</v>
          </cell>
          <cell r="F195" t="str">
            <v>Кирилова</v>
          </cell>
          <cell r="G195" t="str">
            <v>Недялкова-Сиракова</v>
          </cell>
          <cell r="H195" t="str">
            <v>05.04.16 Теория и практика на превода</v>
          </cell>
          <cell r="L195" t="str">
            <v>ХОН</v>
          </cell>
          <cell r="O195"/>
          <cell r="P195"/>
          <cell r="R195"/>
          <cell r="T195"/>
          <cell r="V195"/>
          <cell r="X195"/>
          <cell r="Z195"/>
        </row>
        <row r="196">
          <cell r="A196" t="str">
            <v xml:space="preserve">Данов </v>
          </cell>
          <cell r="B196" t="str">
            <v xml:space="preserve">гл. ас. д-р Данаил Данов </v>
          </cell>
          <cell r="C196" t="str">
            <v>гл. ас.</v>
          </cell>
          <cell r="D196" t="str">
            <v>д-р</v>
          </cell>
          <cell r="E196" t="str">
            <v>Данаил</v>
          </cell>
          <cell r="F196" t="str">
            <v xml:space="preserve">Кирилов </v>
          </cell>
          <cell r="G196" t="str">
            <v xml:space="preserve">Данов </v>
          </cell>
          <cell r="H196" t="str">
            <v>05.07.03 Методика на обучението</v>
          </cell>
          <cell r="L196" t="str">
            <v>ХОН</v>
          </cell>
          <cell r="O196"/>
          <cell r="P196"/>
          <cell r="R196"/>
          <cell r="T196"/>
          <cell r="V196"/>
          <cell r="X196"/>
          <cell r="Z196"/>
        </row>
        <row r="197">
          <cell r="A197" t="str">
            <v>Николова</v>
          </cell>
          <cell r="B197" t="str">
            <v>доц.  д-р Юлия  Николова</v>
          </cell>
          <cell r="C197" t="str">
            <v xml:space="preserve">доц. </v>
          </cell>
          <cell r="D197" t="str">
            <v>д-р</v>
          </cell>
          <cell r="E197" t="str">
            <v xml:space="preserve">Юлия </v>
          </cell>
          <cell r="F197" t="str">
            <v>Христова</v>
          </cell>
          <cell r="G197" t="str">
            <v>Николова</v>
          </cell>
          <cell r="H197" t="str">
            <v>05.04.02 Българска литература</v>
          </cell>
          <cell r="K197" t="str">
            <v>05.04.02 Българска литература</v>
          </cell>
          <cell r="L197" t="str">
            <v>ХОН</v>
          </cell>
          <cell r="O197"/>
          <cell r="P197"/>
          <cell r="R197"/>
          <cell r="T197"/>
          <cell r="V197"/>
          <cell r="X197"/>
          <cell r="Z197"/>
        </row>
        <row r="198">
          <cell r="A198" t="str">
            <v>Кул</v>
          </cell>
          <cell r="B198" t="str">
            <v>ас. д-р Ердоган Кул</v>
          </cell>
          <cell r="C198" t="str">
            <v>ас.</v>
          </cell>
          <cell r="D198" t="str">
            <v>д-р</v>
          </cell>
          <cell r="E198" t="str">
            <v>Ердоган</v>
          </cell>
          <cell r="G198" t="str">
            <v>Кул</v>
          </cell>
          <cell r="H198" t="str">
            <v>05.04.06 Литерартура на народите на Европа, Америка, АФРИКА, Ази яи Австралия</v>
          </cell>
          <cell r="L198" t="str">
            <v>ХОН</v>
          </cell>
          <cell r="N198" t="str">
            <v>05.04.06 Литература на народите на Европа, Америка, Африка, Азия и Австралия</v>
          </cell>
          <cell r="O198"/>
          <cell r="P198"/>
          <cell r="R198"/>
          <cell r="T198"/>
          <cell r="V198"/>
          <cell r="X198"/>
          <cell r="Z198"/>
        </row>
        <row r="199">
          <cell r="A199" t="str">
            <v>Алексова</v>
          </cell>
          <cell r="B199" t="str">
            <v>доц. д-р Красимира Алексова</v>
          </cell>
          <cell r="C199" t="str">
            <v>доц.</v>
          </cell>
          <cell r="D199" t="str">
            <v>д-р</v>
          </cell>
          <cell r="E199" t="str">
            <v>Красимира</v>
          </cell>
          <cell r="F199" t="str">
            <v>Славчева</v>
          </cell>
          <cell r="G199" t="str">
            <v>Алексова</v>
          </cell>
          <cell r="H199" t="str">
            <v>05.04.17 Български език</v>
          </cell>
          <cell r="K199" t="str">
            <v>05.04.17 Български език</v>
          </cell>
          <cell r="L199" t="str">
            <v>ХОН</v>
          </cell>
          <cell r="O199"/>
          <cell r="P199"/>
          <cell r="R199"/>
          <cell r="T199"/>
          <cell r="V199"/>
          <cell r="X199"/>
          <cell r="Z199"/>
        </row>
        <row r="200">
          <cell r="A200" t="str">
            <v>Несторова</v>
          </cell>
          <cell r="B200" t="str">
            <v>ас. д-р  Петя Несторова</v>
          </cell>
          <cell r="C200" t="str">
            <v>ас.</v>
          </cell>
          <cell r="D200" t="str">
            <v xml:space="preserve">д-р </v>
          </cell>
          <cell r="E200" t="str">
            <v>Петя</v>
          </cell>
          <cell r="F200" t="str">
            <v>Русинова</v>
          </cell>
          <cell r="G200" t="str">
            <v>Несторова</v>
          </cell>
          <cell r="H200" t="str">
            <v>05.04.17 Български език</v>
          </cell>
          <cell r="L200" t="str">
            <v>ХОН</v>
          </cell>
          <cell r="O200"/>
          <cell r="P200"/>
          <cell r="R200"/>
          <cell r="T200"/>
          <cell r="V200"/>
          <cell r="X200"/>
          <cell r="Z200"/>
        </row>
        <row r="201">
          <cell r="A201" t="str">
            <v>етомова</v>
          </cell>
          <cell r="B201" t="str">
            <v>доц. д-р  Елена Томова</v>
          </cell>
          <cell r="C201" t="str">
            <v>доц.</v>
          </cell>
          <cell r="D201" t="str">
            <v xml:space="preserve">д-р </v>
          </cell>
          <cell r="E201" t="str">
            <v>Елена</v>
          </cell>
          <cell r="F201" t="str">
            <v>Атанасова</v>
          </cell>
          <cell r="G201" t="str">
            <v>Томова</v>
          </cell>
          <cell r="H201" t="str">
            <v>05.04.18 Славянски езици</v>
          </cell>
          <cell r="L201" t="str">
            <v>ХОН</v>
          </cell>
          <cell r="N201" t="str">
            <v>05.04.18 Славянски езици</v>
          </cell>
          <cell r="O201"/>
          <cell r="P201"/>
          <cell r="R201"/>
          <cell r="T201"/>
          <cell r="V201"/>
          <cell r="X201"/>
          <cell r="Z201"/>
        </row>
        <row r="202">
          <cell r="A202" t="str">
            <v>Кацарова</v>
          </cell>
          <cell r="B202" t="str">
            <v>доц.  д-р  Весела Кацарова</v>
          </cell>
          <cell r="C202" t="str">
            <v xml:space="preserve">доц. </v>
          </cell>
          <cell r="D202" t="str">
            <v xml:space="preserve">д-р </v>
          </cell>
          <cell r="E202" t="str">
            <v>Весела</v>
          </cell>
          <cell r="F202" t="str">
            <v xml:space="preserve">Тодорова </v>
          </cell>
          <cell r="G202" t="str">
            <v>Кацарова</v>
          </cell>
          <cell r="H202" t="str">
            <v>05.04.06 Литерартура на народите на Европа, Америка, АФРИКА, Ази яи Австралия</v>
          </cell>
          <cell r="K202" t="str">
            <v>05.04.06 Литература на народите на Европа, Америка, Африка, Азия и Австралия</v>
          </cell>
          <cell r="L202" t="str">
            <v>ХОН</v>
          </cell>
          <cell r="O202"/>
          <cell r="P202"/>
          <cell r="R202"/>
          <cell r="T202"/>
          <cell r="V202"/>
          <cell r="X202"/>
          <cell r="Z202"/>
        </row>
        <row r="203">
          <cell r="A203" t="str">
            <v>Стаменов</v>
          </cell>
          <cell r="B203" t="str">
            <v>доц. д-р  Христо Стаменов</v>
          </cell>
          <cell r="C203" t="str">
            <v>доц.</v>
          </cell>
          <cell r="D203" t="str">
            <v xml:space="preserve">д-р </v>
          </cell>
          <cell r="E203" t="str">
            <v>Христо</v>
          </cell>
          <cell r="F203" t="str">
            <v>Маринов</v>
          </cell>
          <cell r="G203" t="str">
            <v>Стаменов</v>
          </cell>
          <cell r="H203" t="str">
            <v>05.04.20 Германски езици</v>
          </cell>
          <cell r="K203" t="str">
            <v>05.04.20 Германски езици</v>
          </cell>
          <cell r="L203" t="str">
            <v>ХОН</v>
          </cell>
          <cell r="M203">
            <v>1950</v>
          </cell>
          <cell r="O203"/>
          <cell r="P203"/>
          <cell r="R203"/>
          <cell r="T203"/>
          <cell r="V203"/>
          <cell r="X203"/>
          <cell r="Z203"/>
        </row>
        <row r="204">
          <cell r="A204" t="str">
            <v>Моллов</v>
          </cell>
          <cell r="B204" t="str">
            <v>доц.  д-р  Петър  Моллов</v>
          </cell>
          <cell r="C204" t="str">
            <v xml:space="preserve">доц. </v>
          </cell>
          <cell r="D204" t="str">
            <v xml:space="preserve">д-р </v>
          </cell>
          <cell r="E204" t="str">
            <v xml:space="preserve">Петър </v>
          </cell>
          <cell r="F204" t="str">
            <v>Иванова</v>
          </cell>
          <cell r="G204" t="str">
            <v>Моллов</v>
          </cell>
          <cell r="H204" t="str">
            <v>05.04.06 Литерартура на народите на Европа, Америка, АФРИКА, Ази яи Австралия</v>
          </cell>
          <cell r="K204" t="str">
            <v>05.04.06 Литература н анародите на Европа, Америка, Африка, Азия и Австралия</v>
          </cell>
          <cell r="L204" t="str">
            <v>ХОН</v>
          </cell>
          <cell r="O204"/>
          <cell r="P204"/>
          <cell r="R204"/>
          <cell r="T204"/>
          <cell r="V204"/>
          <cell r="X204"/>
          <cell r="Z204"/>
        </row>
        <row r="205">
          <cell r="A205" t="str">
            <v>Карачорова</v>
          </cell>
          <cell r="B205" t="str">
            <v>доц.  д-р  Ивона Карачорова</v>
          </cell>
          <cell r="C205" t="str">
            <v xml:space="preserve">доц. </v>
          </cell>
          <cell r="D205" t="str">
            <v xml:space="preserve">д-р </v>
          </cell>
          <cell r="E205" t="str">
            <v>Ивона</v>
          </cell>
          <cell r="F205" t="str">
            <v xml:space="preserve">Велчева </v>
          </cell>
          <cell r="G205" t="str">
            <v>Карачорова</v>
          </cell>
          <cell r="H205" t="str">
            <v>05.04.17 Български език</v>
          </cell>
          <cell r="K205" t="str">
            <v>05.04.17 Български език</v>
          </cell>
          <cell r="L205" t="str">
            <v>ХОН</v>
          </cell>
          <cell r="O205"/>
          <cell r="P205"/>
          <cell r="R205"/>
          <cell r="T205"/>
          <cell r="V205"/>
          <cell r="X205"/>
          <cell r="Z205"/>
        </row>
        <row r="206">
          <cell r="A206" t="str">
            <v>Венедикова</v>
          </cell>
          <cell r="B206" t="str">
            <v>доц. д-р  Катерина Венедикова</v>
          </cell>
          <cell r="C206" t="str">
            <v>доц.</v>
          </cell>
          <cell r="D206" t="str">
            <v xml:space="preserve">д-р </v>
          </cell>
          <cell r="E206" t="str">
            <v>Катерина</v>
          </cell>
          <cell r="F206" t="str">
            <v>Иванова</v>
          </cell>
          <cell r="G206" t="str">
            <v>Венедикова</v>
          </cell>
          <cell r="H206" t="str">
            <v>05.04.23 Ирански езици, семитско-хамитски езици, тюркски, монголски езици, угро-фински езици</v>
          </cell>
          <cell r="K206" t="str">
            <v>05.04.06 Ирански езици, семитско-хамитски езици, тюркски, монголски езици, угро-финскии езици</v>
          </cell>
          <cell r="L206" t="str">
            <v>ХОН</v>
          </cell>
          <cell r="O206"/>
          <cell r="P206"/>
          <cell r="R206"/>
          <cell r="T206"/>
          <cell r="V206"/>
          <cell r="X206"/>
          <cell r="Z206"/>
        </row>
        <row r="207">
          <cell r="A207" t="str">
            <v>Салджиев</v>
          </cell>
          <cell r="B207" t="str">
            <v>доц. д-р  Христо Салджиев</v>
          </cell>
          <cell r="C207" t="str">
            <v>доц.</v>
          </cell>
          <cell r="D207" t="str">
            <v xml:space="preserve">д-р </v>
          </cell>
          <cell r="E207" t="str">
            <v>Христо</v>
          </cell>
          <cell r="F207" t="str">
            <v>Иванова</v>
          </cell>
          <cell r="G207" t="str">
            <v>Салджиев</v>
          </cell>
          <cell r="H207" t="str">
            <v>05.03.04 Нова и най-обща история</v>
          </cell>
          <cell r="K207" t="str">
            <v>05.03.04 Нова и най-обща история</v>
          </cell>
          <cell r="L207" t="str">
            <v>ХОН</v>
          </cell>
          <cell r="O207"/>
          <cell r="P207"/>
          <cell r="R207"/>
          <cell r="T207"/>
          <cell r="V207"/>
          <cell r="X207"/>
          <cell r="Z207"/>
        </row>
        <row r="208">
          <cell r="A208" t="str">
            <v>Пътова</v>
          </cell>
          <cell r="B208" t="str">
            <v>гл. ас.  д-р  Николета Пътова</v>
          </cell>
          <cell r="C208" t="str">
            <v xml:space="preserve">гл. ас. </v>
          </cell>
          <cell r="D208" t="str">
            <v xml:space="preserve">д-р </v>
          </cell>
          <cell r="E208" t="str">
            <v>Николета</v>
          </cell>
          <cell r="F208" t="str">
            <v>Василева</v>
          </cell>
          <cell r="G208" t="str">
            <v>Пътова</v>
          </cell>
          <cell r="H208" t="str">
            <v>05.04.02 Българаска литература</v>
          </cell>
          <cell r="L208" t="str">
            <v>ХОН</v>
          </cell>
          <cell r="M208"/>
          <cell r="N208" t="str">
            <v>05.04.02 Българска литература</v>
          </cell>
          <cell r="O208"/>
          <cell r="P208"/>
          <cell r="R208"/>
          <cell r="T208"/>
          <cell r="V208"/>
          <cell r="X208"/>
          <cell r="Z208"/>
        </row>
        <row r="209">
          <cell r="A209" t="str">
            <v>Байчинска</v>
          </cell>
          <cell r="B209" t="str">
            <v>доц.  д-р  Светлана  Байчинска</v>
          </cell>
          <cell r="C209" t="str">
            <v xml:space="preserve">доц. </v>
          </cell>
          <cell r="D209" t="str">
            <v xml:space="preserve">д-р </v>
          </cell>
          <cell r="E209" t="str">
            <v xml:space="preserve">Светлана </v>
          </cell>
          <cell r="F209" t="str">
            <v>Костадинова</v>
          </cell>
          <cell r="G209" t="str">
            <v>Байчинска</v>
          </cell>
          <cell r="L209" t="str">
            <v>ХОН</v>
          </cell>
          <cell r="O209"/>
          <cell r="P209"/>
          <cell r="R209"/>
          <cell r="T209"/>
          <cell r="V209"/>
          <cell r="X209"/>
          <cell r="Z209"/>
        </row>
        <row r="210">
          <cell r="A210" t="str">
            <v>Вучева-Йорданова</v>
          </cell>
          <cell r="B210" t="str">
            <v>проф. дфн Евгения Вучева-Йорданова</v>
          </cell>
          <cell r="C210" t="str">
            <v>проф.</v>
          </cell>
          <cell r="D210" t="str">
            <v>дфн</v>
          </cell>
          <cell r="E210" t="str">
            <v>Евгения</v>
          </cell>
          <cell r="F210" t="str">
            <v xml:space="preserve">Тодорова </v>
          </cell>
          <cell r="G210" t="str">
            <v>Вучева-Йорданова</v>
          </cell>
          <cell r="I210" t="str">
            <v>05.04.21 Романски езици</v>
          </cell>
          <cell r="J210" t="str">
            <v>05.04.21 Романски езици</v>
          </cell>
          <cell r="L210" t="str">
            <v>ХОН</v>
          </cell>
          <cell r="O210"/>
          <cell r="P210"/>
          <cell r="R210"/>
          <cell r="T210"/>
          <cell r="V210"/>
          <cell r="X210"/>
          <cell r="Z210"/>
        </row>
        <row r="211">
          <cell r="A211" t="str">
            <v>Добрев</v>
          </cell>
          <cell r="B211" t="str">
            <v>проф. дфн Иван Добрев</v>
          </cell>
          <cell r="C211" t="str">
            <v>проф.</v>
          </cell>
          <cell r="D211" t="str">
            <v>дфн</v>
          </cell>
          <cell r="E211" t="str">
            <v>Иван</v>
          </cell>
          <cell r="F211" t="str">
            <v>Добрев</v>
          </cell>
          <cell r="G211" t="str">
            <v>Добрев</v>
          </cell>
          <cell r="I211" t="str">
            <v>05.04.17 Български език</v>
          </cell>
          <cell r="J211" t="str">
            <v>05.04.17 Български език</v>
          </cell>
          <cell r="L211" t="str">
            <v>ХОН</v>
          </cell>
          <cell r="O211"/>
          <cell r="P211"/>
          <cell r="R211"/>
          <cell r="T211"/>
          <cell r="V211"/>
          <cell r="X211"/>
          <cell r="Z211"/>
        </row>
        <row r="212">
          <cell r="A212" t="str">
            <v>Цибранска-Костова</v>
          </cell>
          <cell r="B212" t="str">
            <v>проф. дфн Марияна Цибранска-Костова</v>
          </cell>
          <cell r="C212" t="str">
            <v>проф.</v>
          </cell>
          <cell r="D212" t="str">
            <v>дфн</v>
          </cell>
          <cell r="E212" t="str">
            <v>Марияна</v>
          </cell>
          <cell r="F212" t="str">
            <v>Петрова</v>
          </cell>
          <cell r="G212" t="str">
            <v>Цибранска-Костова</v>
          </cell>
          <cell r="I212" t="str">
            <v>05.04.17 Български език</v>
          </cell>
          <cell r="J212" t="str">
            <v>05.04.17 Български език</v>
          </cell>
          <cell r="L212" t="str">
            <v>ХОН</v>
          </cell>
          <cell r="O212"/>
          <cell r="P212"/>
          <cell r="R212"/>
          <cell r="T212"/>
          <cell r="V212"/>
          <cell r="X212"/>
          <cell r="Z212"/>
        </row>
        <row r="213">
          <cell r="A213" t="str">
            <v>Славова</v>
          </cell>
          <cell r="B213" t="str">
            <v>проф. дфн Мирена Славова</v>
          </cell>
          <cell r="C213" t="str">
            <v>проф.</v>
          </cell>
          <cell r="D213" t="str">
            <v>дфн</v>
          </cell>
          <cell r="E213" t="str">
            <v>Мирена</v>
          </cell>
          <cell r="F213" t="str">
            <v>Христова</v>
          </cell>
          <cell r="G213" t="str">
            <v>Славова</v>
          </cell>
          <cell r="I213" t="str">
            <v>05.04.22 Класически езици</v>
          </cell>
          <cell r="J213" t="str">
            <v>05.04.22 Клаисчески езици</v>
          </cell>
          <cell r="L213" t="str">
            <v>ХОН</v>
          </cell>
          <cell r="M213">
            <v>1956</v>
          </cell>
          <cell r="O213"/>
          <cell r="P213"/>
          <cell r="R213"/>
          <cell r="T213"/>
          <cell r="V213"/>
          <cell r="X213"/>
          <cell r="Z213"/>
        </row>
        <row r="214">
          <cell r="A214" t="str">
            <v>Фона</v>
          </cell>
          <cell r="B214" t="str">
            <v>доц. дфн Агим Фона</v>
          </cell>
          <cell r="C214" t="str">
            <v>доц.</v>
          </cell>
          <cell r="D214" t="str">
            <v>дфн</v>
          </cell>
          <cell r="E214" t="str">
            <v>Агим</v>
          </cell>
          <cell r="F214" t="str">
            <v xml:space="preserve">Рустем </v>
          </cell>
          <cell r="G214" t="str">
            <v>Фона</v>
          </cell>
          <cell r="I214" t="str">
            <v>05.04.11 Общо и сравнително езикознание</v>
          </cell>
          <cell r="K214" t="str">
            <v>05.04.11 Общо и сравнително езикознание</v>
          </cell>
          <cell r="L214" t="str">
            <v>ХОН</v>
          </cell>
          <cell r="O214"/>
          <cell r="P214"/>
          <cell r="R214"/>
          <cell r="T214"/>
          <cell r="V214"/>
          <cell r="X214"/>
          <cell r="Z214"/>
        </row>
        <row r="215">
          <cell r="A215" t="str">
            <v>Коларов</v>
          </cell>
          <cell r="B215" t="str">
            <v>проф. дфн Радосвет Коларов</v>
          </cell>
          <cell r="C215" t="str">
            <v>проф.</v>
          </cell>
          <cell r="D215" t="str">
            <v>дфн</v>
          </cell>
          <cell r="E215" t="str">
            <v>Радосвет</v>
          </cell>
          <cell r="F215" t="str">
            <v>Стефанов</v>
          </cell>
          <cell r="G215" t="str">
            <v>Коларов</v>
          </cell>
          <cell r="I215" t="str">
            <v>05.04.01 Теория и история на литературата</v>
          </cell>
          <cell r="J215" t="str">
            <v>05.04.01 Теория и история на литературата</v>
          </cell>
          <cell r="L215" t="str">
            <v>ХОН</v>
          </cell>
          <cell r="O215"/>
          <cell r="P215"/>
          <cell r="R215"/>
          <cell r="T215"/>
          <cell r="V215"/>
          <cell r="X215"/>
          <cell r="Z215"/>
        </row>
        <row r="216">
          <cell r="A216" t="str">
            <v>Стоянова</v>
          </cell>
          <cell r="B216" t="str">
            <v>ас.  Светлана Стоянова</v>
          </cell>
          <cell r="C216" t="str">
            <v>ас.</v>
          </cell>
          <cell r="E216" t="str">
            <v>Светлана</v>
          </cell>
          <cell r="F216" t="str">
            <v xml:space="preserve">Павлова </v>
          </cell>
          <cell r="G216" t="str">
            <v>Стоянова</v>
          </cell>
          <cell r="L216" t="str">
            <v>ХОН</v>
          </cell>
          <cell r="N216" t="str">
            <v>05.04.02. Българска литература</v>
          </cell>
          <cell r="O216"/>
          <cell r="P216"/>
          <cell r="R216"/>
          <cell r="T216"/>
          <cell r="V216"/>
          <cell r="X216"/>
          <cell r="Z216"/>
        </row>
        <row r="217">
          <cell r="A217" t="str">
            <v>Дечев</v>
          </cell>
          <cell r="B217" t="str">
            <v>ас.  Здравко Дечев</v>
          </cell>
          <cell r="C217" t="str">
            <v>ас.</v>
          </cell>
          <cell r="E217" t="str">
            <v>Здравко</v>
          </cell>
          <cell r="F217" t="str">
            <v>Трифонов</v>
          </cell>
          <cell r="G217" t="str">
            <v>Дечев</v>
          </cell>
          <cell r="L217" t="str">
            <v>ХОН</v>
          </cell>
          <cell r="N217" t="str">
            <v>05.04.02 Българска литература</v>
          </cell>
          <cell r="O217"/>
          <cell r="P217"/>
          <cell r="R217"/>
          <cell r="T217"/>
          <cell r="V217"/>
          <cell r="X217"/>
          <cell r="Z217"/>
        </row>
        <row r="218">
          <cell r="A218" t="str">
            <v>Алексиев</v>
          </cell>
          <cell r="B218" t="str">
            <v>ас.  Камен  Алексиев</v>
          </cell>
          <cell r="C218" t="str">
            <v>ас.</v>
          </cell>
          <cell r="E218" t="str">
            <v xml:space="preserve">Камен </v>
          </cell>
          <cell r="F218" t="str">
            <v>Николов</v>
          </cell>
          <cell r="G218" t="str">
            <v>Алексиев</v>
          </cell>
          <cell r="L218" t="str">
            <v>ХОН</v>
          </cell>
          <cell r="N218" t="str">
            <v>05.07.03 Методика на обучението по българска литература</v>
          </cell>
          <cell r="O218"/>
          <cell r="P218"/>
          <cell r="R218"/>
          <cell r="T218"/>
          <cell r="V218"/>
          <cell r="X218"/>
          <cell r="Z218"/>
        </row>
        <row r="219">
          <cell r="A219" t="str">
            <v>Йорданова</v>
          </cell>
          <cell r="B219" t="str">
            <v>ас.  Данка Йорданова</v>
          </cell>
          <cell r="C219" t="str">
            <v>ас.</v>
          </cell>
          <cell r="E219" t="str">
            <v>Данка</v>
          </cell>
          <cell r="F219" t="str">
            <v xml:space="preserve">Велчева </v>
          </cell>
          <cell r="G219" t="str">
            <v>Йорданова</v>
          </cell>
          <cell r="L219" t="str">
            <v>ХОН</v>
          </cell>
          <cell r="N219" t="str">
            <v>05.04.02 Българска литература</v>
          </cell>
          <cell r="O219"/>
          <cell r="P219"/>
          <cell r="R219"/>
          <cell r="T219"/>
          <cell r="V219"/>
          <cell r="X219"/>
          <cell r="Z219"/>
        </row>
        <row r="220">
          <cell r="A220" t="str">
            <v>Миличина</v>
          </cell>
          <cell r="B220" t="str">
            <v>ас.  Мария Миличина</v>
          </cell>
          <cell r="C220" t="str">
            <v>ас.</v>
          </cell>
          <cell r="E220" t="str">
            <v>Мария</v>
          </cell>
          <cell r="F220" t="str">
            <v>Димитрова</v>
          </cell>
          <cell r="G220" t="str">
            <v>Миличина</v>
          </cell>
          <cell r="L220" t="str">
            <v>ХОН</v>
          </cell>
          <cell r="N220" t="str">
            <v>05.04.17 Български език</v>
          </cell>
          <cell r="O220"/>
          <cell r="P220"/>
          <cell r="R220"/>
          <cell r="T220"/>
          <cell r="V220"/>
          <cell r="X220"/>
          <cell r="Z220"/>
        </row>
        <row r="221">
          <cell r="A221" t="str">
            <v>Минев</v>
          </cell>
          <cell r="B221" t="str">
            <v>ас.  Димитър  Минев</v>
          </cell>
          <cell r="C221" t="str">
            <v>ас.</v>
          </cell>
          <cell r="E221" t="str">
            <v xml:space="preserve">Димитър </v>
          </cell>
          <cell r="F221" t="str">
            <v xml:space="preserve">Тотев </v>
          </cell>
          <cell r="G221" t="str">
            <v>Минев</v>
          </cell>
          <cell r="L221" t="str">
            <v>ХОН</v>
          </cell>
          <cell r="O221"/>
          <cell r="P221"/>
          <cell r="R221"/>
          <cell r="T221"/>
          <cell r="V221"/>
          <cell r="X221"/>
          <cell r="Z221"/>
        </row>
        <row r="222">
          <cell r="A222" t="str">
            <v>Цонев</v>
          </cell>
          <cell r="B222" t="str">
            <v>ас.  Георги Цонев</v>
          </cell>
          <cell r="C222" t="str">
            <v>ас.</v>
          </cell>
          <cell r="E222" t="str">
            <v>Георги</v>
          </cell>
          <cell r="F222" t="str">
            <v>Симеонов</v>
          </cell>
          <cell r="G222" t="str">
            <v>Цонев</v>
          </cell>
          <cell r="L222" t="str">
            <v>ХОН</v>
          </cell>
          <cell r="O222"/>
          <cell r="P222"/>
          <cell r="R222"/>
          <cell r="T222"/>
          <cell r="V222"/>
          <cell r="X222"/>
          <cell r="Z222"/>
        </row>
        <row r="223">
          <cell r="A223" t="str">
            <v>Джерманович</v>
          </cell>
          <cell r="B223" t="str">
            <v>ас.  Светла Джерманович</v>
          </cell>
          <cell r="C223" t="str">
            <v>ас.</v>
          </cell>
          <cell r="E223" t="str">
            <v>Светла</v>
          </cell>
          <cell r="F223" t="str">
            <v>Димитрова</v>
          </cell>
          <cell r="G223" t="str">
            <v>Джерманович</v>
          </cell>
          <cell r="L223" t="str">
            <v>ХОН</v>
          </cell>
          <cell r="N223" t="str">
            <v>05.04.18 Славянски езици</v>
          </cell>
          <cell r="O223"/>
          <cell r="P223"/>
          <cell r="R223"/>
          <cell r="T223"/>
          <cell r="V223"/>
          <cell r="X223"/>
          <cell r="Z223"/>
        </row>
        <row r="224">
          <cell r="A224" t="str">
            <v>Найденова</v>
          </cell>
          <cell r="B224" t="str">
            <v>ас.  Данута Найденова</v>
          </cell>
          <cell r="C224" t="str">
            <v>ас.</v>
          </cell>
          <cell r="E224" t="str">
            <v>Данута</v>
          </cell>
          <cell r="F224" t="str">
            <v xml:space="preserve">Матишак </v>
          </cell>
          <cell r="G224" t="str">
            <v>Найденова</v>
          </cell>
          <cell r="L224" t="str">
            <v>ХОН</v>
          </cell>
          <cell r="N224" t="str">
            <v>05.04.06 Литература на народите на Европа, Америка, Африка, Азия и Австралия</v>
          </cell>
          <cell r="O224"/>
          <cell r="P224"/>
          <cell r="R224"/>
          <cell r="T224"/>
          <cell r="V224"/>
          <cell r="X224"/>
          <cell r="Z224"/>
        </row>
        <row r="225">
          <cell r="A225" t="str">
            <v>Новак</v>
          </cell>
          <cell r="B225" t="str">
            <v>ас.  Илиана Новак</v>
          </cell>
          <cell r="C225" t="str">
            <v>ас.</v>
          </cell>
          <cell r="E225" t="str">
            <v>Илиана</v>
          </cell>
          <cell r="F225" t="str">
            <v>Георгиева</v>
          </cell>
          <cell r="G225" t="str">
            <v>Новак</v>
          </cell>
          <cell r="L225" t="str">
            <v>ХОН</v>
          </cell>
          <cell r="N225" t="str">
            <v>05.04.18 Славянски езици</v>
          </cell>
          <cell r="O225"/>
          <cell r="P225"/>
          <cell r="R225"/>
          <cell r="T225"/>
          <cell r="V225"/>
          <cell r="X225"/>
          <cell r="Z225"/>
        </row>
        <row r="226">
          <cell r="A226" t="str">
            <v>Маринова</v>
          </cell>
          <cell r="B226" t="str">
            <v>ас.  Красимира Маринова</v>
          </cell>
          <cell r="C226" t="str">
            <v>ас.</v>
          </cell>
          <cell r="E226" t="str">
            <v>Красимира</v>
          </cell>
          <cell r="F226" t="str">
            <v>Асенова</v>
          </cell>
          <cell r="G226" t="str">
            <v>Маринова</v>
          </cell>
          <cell r="L226" t="str">
            <v>ХОН</v>
          </cell>
          <cell r="N226" t="str">
            <v>05.04.06 Литература н анародите на Европа, Америка, Африка, Азия и Австралия</v>
          </cell>
          <cell r="O226"/>
          <cell r="P226"/>
          <cell r="R226"/>
          <cell r="T226"/>
          <cell r="V226"/>
          <cell r="X226"/>
          <cell r="Z226"/>
        </row>
        <row r="227">
          <cell r="A227" t="str">
            <v>Кожухаров</v>
          </cell>
          <cell r="B227" t="str">
            <v>ас.  Стефан  Кожухаров</v>
          </cell>
          <cell r="C227" t="str">
            <v>ас.</v>
          </cell>
          <cell r="E227" t="str">
            <v xml:space="preserve">Стефан </v>
          </cell>
          <cell r="F227" t="str">
            <v>Димитрова</v>
          </cell>
          <cell r="G227" t="str">
            <v>Кожухаров</v>
          </cell>
          <cell r="L227" t="str">
            <v>ХОН</v>
          </cell>
          <cell r="N227" t="str">
            <v>05.04.18 Славянски езици</v>
          </cell>
          <cell r="O227"/>
          <cell r="P227"/>
          <cell r="R227"/>
          <cell r="T227"/>
          <cell r="V227"/>
          <cell r="X227"/>
          <cell r="Z227"/>
        </row>
        <row r="228">
          <cell r="A228" t="str">
            <v>Неделчева</v>
          </cell>
          <cell r="B228" t="str">
            <v>ас.  Кристина Неделчева</v>
          </cell>
          <cell r="C228" t="str">
            <v>ас.</v>
          </cell>
          <cell r="E228" t="str">
            <v>Кристина</v>
          </cell>
          <cell r="F228" t="str">
            <v>Стоянова</v>
          </cell>
          <cell r="G228" t="str">
            <v>Неделчева</v>
          </cell>
          <cell r="L228" t="str">
            <v>ХОН</v>
          </cell>
          <cell r="N228" t="str">
            <v>05.04.18 Славянски езици</v>
          </cell>
          <cell r="O228"/>
          <cell r="P228"/>
          <cell r="R228"/>
          <cell r="T228"/>
          <cell r="V228"/>
          <cell r="X228"/>
          <cell r="Z228"/>
        </row>
        <row r="229">
          <cell r="A229" t="str">
            <v>Василева</v>
          </cell>
          <cell r="B229" t="str">
            <v>гл. ас.  Елена  Василева</v>
          </cell>
          <cell r="C229" t="str">
            <v>гл. ас.</v>
          </cell>
          <cell r="E229" t="str">
            <v xml:space="preserve">Елена </v>
          </cell>
          <cell r="F229" t="str">
            <v xml:space="preserve">Лилова </v>
          </cell>
          <cell r="G229" t="str">
            <v>Василева</v>
          </cell>
          <cell r="H229"/>
          <cell r="L229" t="str">
            <v>ХОН</v>
          </cell>
          <cell r="M229"/>
          <cell r="N229" t="str">
            <v>05.04.18 Славянски езици</v>
          </cell>
          <cell r="O229"/>
          <cell r="P229"/>
          <cell r="R229"/>
          <cell r="T229"/>
          <cell r="V229"/>
          <cell r="X229"/>
          <cell r="Z229"/>
        </row>
        <row r="230">
          <cell r="A230" t="str">
            <v>Косева</v>
          </cell>
          <cell r="B230" t="str">
            <v>гл. ас.  Грета  Косева</v>
          </cell>
          <cell r="C230" t="str">
            <v>гл. ас.</v>
          </cell>
          <cell r="E230" t="str">
            <v xml:space="preserve">Грета </v>
          </cell>
          <cell r="F230" t="str">
            <v>Серафимова</v>
          </cell>
          <cell r="G230" t="str">
            <v>Косева</v>
          </cell>
          <cell r="L230" t="str">
            <v>ХОН</v>
          </cell>
          <cell r="M230"/>
          <cell r="N230" t="str">
            <v>05.04.18 Славянски езици</v>
          </cell>
          <cell r="O230"/>
          <cell r="P230"/>
          <cell r="R230"/>
          <cell r="T230"/>
          <cell r="V230"/>
          <cell r="X230"/>
          <cell r="Z230"/>
        </row>
        <row r="231">
          <cell r="A231" t="str">
            <v>Шкодрова</v>
          </cell>
          <cell r="B231" t="str">
            <v>гл. ас.  Диана Шкодрова</v>
          </cell>
          <cell r="C231" t="str">
            <v>гл. ас.</v>
          </cell>
          <cell r="E231" t="str">
            <v>Диана</v>
          </cell>
          <cell r="F231" t="str">
            <v xml:space="preserve">Николова </v>
          </cell>
          <cell r="G231" t="str">
            <v>Шкодрова</v>
          </cell>
          <cell r="L231" t="str">
            <v>ХОН</v>
          </cell>
          <cell r="M231"/>
          <cell r="N231" t="str">
            <v>05.04.18 Славянски езици</v>
          </cell>
          <cell r="O231"/>
          <cell r="P231"/>
          <cell r="R231"/>
          <cell r="T231"/>
          <cell r="V231"/>
          <cell r="X231"/>
          <cell r="Z231"/>
        </row>
        <row r="232">
          <cell r="A232" t="str">
            <v>Савова</v>
          </cell>
          <cell r="B232" t="str">
            <v>гл. ас.  Петранка  Савова</v>
          </cell>
          <cell r="C232" t="str">
            <v>гл. ас.</v>
          </cell>
          <cell r="E232" t="str">
            <v xml:space="preserve">Петранка </v>
          </cell>
          <cell r="F232" t="str">
            <v>Драганова</v>
          </cell>
          <cell r="G232" t="str">
            <v>Савова</v>
          </cell>
          <cell r="L232" t="str">
            <v>ХОН</v>
          </cell>
          <cell r="M232"/>
          <cell r="N232" t="str">
            <v>05.04.18 Славянски езици</v>
          </cell>
          <cell r="O232"/>
          <cell r="P232"/>
          <cell r="R232"/>
          <cell r="T232"/>
          <cell r="V232"/>
          <cell r="X232"/>
          <cell r="Z232"/>
        </row>
        <row r="233">
          <cell r="A233" t="str">
            <v>Тилев</v>
          </cell>
          <cell r="B233" t="str">
            <v>ас.  Енчо Тилев</v>
          </cell>
          <cell r="C233" t="str">
            <v>ас.</v>
          </cell>
          <cell r="E233" t="str">
            <v>Енчо</v>
          </cell>
          <cell r="F233" t="str">
            <v>Тилев</v>
          </cell>
          <cell r="G233" t="str">
            <v>Тилев</v>
          </cell>
          <cell r="L233" t="str">
            <v>ХОН</v>
          </cell>
          <cell r="N233" t="str">
            <v>05.04.18 Славянски езици</v>
          </cell>
          <cell r="O233"/>
          <cell r="P233"/>
          <cell r="R233"/>
          <cell r="T233"/>
          <cell r="V233"/>
          <cell r="X233"/>
          <cell r="Z233"/>
        </row>
        <row r="234">
          <cell r="A234" t="str">
            <v>Димитрова</v>
          </cell>
          <cell r="B234" t="str">
            <v>ас.  Полина Димитрова</v>
          </cell>
          <cell r="C234" t="str">
            <v>ас.</v>
          </cell>
          <cell r="E234" t="str">
            <v>Полина</v>
          </cell>
          <cell r="F234" t="str">
            <v>Андреева</v>
          </cell>
          <cell r="G234" t="str">
            <v>Димитрова</v>
          </cell>
          <cell r="L234" t="str">
            <v>ХОН</v>
          </cell>
          <cell r="N234" t="str">
            <v>05.04.18 Славянски езици</v>
          </cell>
          <cell r="O234"/>
          <cell r="P234"/>
          <cell r="R234"/>
          <cell r="T234"/>
          <cell r="V234"/>
          <cell r="X234"/>
          <cell r="Z234"/>
        </row>
        <row r="235">
          <cell r="A235" t="str">
            <v>Ханджийска</v>
          </cell>
          <cell r="B235" t="str">
            <v>ас.  Емилия  Ханджийска</v>
          </cell>
          <cell r="C235" t="str">
            <v>ас.</v>
          </cell>
          <cell r="E235" t="str">
            <v xml:space="preserve">Емилия </v>
          </cell>
          <cell r="F235" t="str">
            <v>Иванова</v>
          </cell>
          <cell r="G235" t="str">
            <v>Ханджийска</v>
          </cell>
          <cell r="L235" t="str">
            <v>ХОН</v>
          </cell>
          <cell r="N235" t="str">
            <v>05.04.20 Германски езици</v>
          </cell>
          <cell r="O235"/>
          <cell r="P235"/>
          <cell r="R235"/>
          <cell r="T235"/>
          <cell r="V235"/>
          <cell r="X235"/>
          <cell r="Z235"/>
        </row>
        <row r="236">
          <cell r="A236" t="str">
            <v>Кунчева</v>
          </cell>
          <cell r="B236" t="str">
            <v>ас.  Елизабет Кунчева</v>
          </cell>
          <cell r="C236" t="str">
            <v>ас.</v>
          </cell>
          <cell r="E236" t="str">
            <v>Елизабет</v>
          </cell>
          <cell r="F236" t="str">
            <v>Огнянова</v>
          </cell>
          <cell r="G236" t="str">
            <v>Кунчева</v>
          </cell>
          <cell r="L236" t="str">
            <v>ХОН</v>
          </cell>
          <cell r="N236" t="str">
            <v>05.04.20 Германски езици</v>
          </cell>
          <cell r="O236"/>
          <cell r="P236"/>
          <cell r="R236"/>
          <cell r="T236"/>
          <cell r="V236"/>
          <cell r="X236"/>
          <cell r="Z236"/>
        </row>
        <row r="237">
          <cell r="A237" t="str">
            <v>Кунчева</v>
          </cell>
          <cell r="B237" t="str">
            <v>ас.  Ралица  Кунчева</v>
          </cell>
          <cell r="C237" t="str">
            <v>ас.</v>
          </cell>
          <cell r="E237" t="str">
            <v xml:space="preserve">Ралица </v>
          </cell>
          <cell r="F237" t="str">
            <v>Петрова</v>
          </cell>
          <cell r="G237" t="str">
            <v>Кунчева</v>
          </cell>
          <cell r="L237" t="str">
            <v>ХОН</v>
          </cell>
          <cell r="N237" t="str">
            <v>05.04.20 Германски езици</v>
          </cell>
          <cell r="O237"/>
          <cell r="P237"/>
          <cell r="R237"/>
          <cell r="T237"/>
          <cell r="V237"/>
          <cell r="X237"/>
          <cell r="Z237"/>
        </row>
        <row r="238">
          <cell r="A238" t="str">
            <v>Арабян</v>
          </cell>
          <cell r="B238" t="str">
            <v>ас.  Вивиан Арабян</v>
          </cell>
          <cell r="C238" t="str">
            <v>ас.</v>
          </cell>
          <cell r="E238" t="str">
            <v>Вивиан</v>
          </cell>
          <cell r="F238" t="str">
            <v xml:space="preserve">Саркис </v>
          </cell>
          <cell r="G238" t="str">
            <v>Арабян</v>
          </cell>
          <cell r="L238" t="str">
            <v>ХОН</v>
          </cell>
          <cell r="N238" t="str">
            <v>05.04.20 Германски езици</v>
          </cell>
          <cell r="O238"/>
          <cell r="P238"/>
          <cell r="R238"/>
          <cell r="T238"/>
          <cell r="V238"/>
          <cell r="X238"/>
          <cell r="Z238"/>
        </row>
        <row r="239">
          <cell r="A239" t="str">
            <v>Живкова-Илиева</v>
          </cell>
          <cell r="B239" t="str">
            <v>ас.  Емилия  Живкова-Илиева</v>
          </cell>
          <cell r="C239" t="str">
            <v>ас.</v>
          </cell>
          <cell r="E239" t="str">
            <v xml:space="preserve">Емилия </v>
          </cell>
          <cell r="F239" t="str">
            <v>Радостинова</v>
          </cell>
          <cell r="G239" t="str">
            <v>Живкова-Илиева</v>
          </cell>
          <cell r="L239" t="str">
            <v>ХОН</v>
          </cell>
          <cell r="N239" t="str">
            <v>05.04.20 Германски езици</v>
          </cell>
          <cell r="O239"/>
          <cell r="P239"/>
          <cell r="R239"/>
          <cell r="T239"/>
          <cell r="V239"/>
          <cell r="X239"/>
          <cell r="Z239"/>
        </row>
        <row r="240">
          <cell r="A240" t="str">
            <v>Ставрева</v>
          </cell>
          <cell r="B240" t="str">
            <v>ас.  Анелия Ставрева</v>
          </cell>
          <cell r="C240" t="str">
            <v>ас.</v>
          </cell>
          <cell r="E240" t="str">
            <v>Анелия</v>
          </cell>
          <cell r="F240" t="str">
            <v xml:space="preserve">Георгиева </v>
          </cell>
          <cell r="G240" t="str">
            <v>Ставрева</v>
          </cell>
          <cell r="L240" t="str">
            <v>ХОН</v>
          </cell>
          <cell r="N240" t="str">
            <v>05.04.20 Германски езици</v>
          </cell>
          <cell r="O240"/>
          <cell r="P240"/>
          <cell r="R240"/>
          <cell r="T240"/>
          <cell r="V240"/>
          <cell r="X240"/>
          <cell r="Z240"/>
        </row>
        <row r="241">
          <cell r="A241" t="str">
            <v>Пенева</v>
          </cell>
          <cell r="B241" t="str">
            <v>ас.  Румяна Пенева</v>
          </cell>
          <cell r="C241" t="str">
            <v>ас.</v>
          </cell>
          <cell r="E241" t="str">
            <v>Румяна</v>
          </cell>
          <cell r="F241" t="str">
            <v>Боянова</v>
          </cell>
          <cell r="G241" t="str">
            <v>Пенева</v>
          </cell>
          <cell r="L241" t="str">
            <v>ХОН</v>
          </cell>
          <cell r="N241" t="str">
            <v>05.04.06 Литература на народите на Европа, Америка, Африка, Азия и Австралия</v>
          </cell>
          <cell r="O241"/>
          <cell r="P241"/>
          <cell r="R241"/>
          <cell r="T241"/>
          <cell r="V241"/>
          <cell r="X241"/>
          <cell r="Z241"/>
        </row>
        <row r="242">
          <cell r="A242" t="str">
            <v>Банев</v>
          </cell>
          <cell r="B242" t="str">
            <v>ас.  Вадим Банев</v>
          </cell>
          <cell r="C242" t="str">
            <v>ас.</v>
          </cell>
          <cell r="E242" t="str">
            <v>Вадим</v>
          </cell>
          <cell r="F242" t="str">
            <v>Атанасов</v>
          </cell>
          <cell r="G242" t="str">
            <v>Банев</v>
          </cell>
          <cell r="L242" t="str">
            <v>ХОН</v>
          </cell>
          <cell r="N242" t="str">
            <v>05.04.20 Германски езици</v>
          </cell>
          <cell r="O242"/>
          <cell r="P242"/>
          <cell r="R242"/>
          <cell r="T242"/>
          <cell r="V242"/>
          <cell r="X242"/>
          <cell r="Z242"/>
        </row>
        <row r="243">
          <cell r="A243" t="str">
            <v>Петкова</v>
          </cell>
          <cell r="B243" t="str">
            <v>ас.  Полина Петкова</v>
          </cell>
          <cell r="C243" t="str">
            <v>ас.</v>
          </cell>
          <cell r="E243" t="str">
            <v>Полина</v>
          </cell>
          <cell r="F243" t="str">
            <v>Николаева</v>
          </cell>
          <cell r="G243" t="str">
            <v>Петкова</v>
          </cell>
          <cell r="L243" t="str">
            <v>ХОН</v>
          </cell>
          <cell r="N243" t="str">
            <v>05.04.20 Германски езици</v>
          </cell>
          <cell r="O243"/>
          <cell r="P243"/>
          <cell r="R243"/>
          <cell r="T243"/>
          <cell r="V243"/>
          <cell r="X243"/>
          <cell r="Z243"/>
        </row>
        <row r="244">
          <cell r="A244" t="str">
            <v>Шаркова</v>
          </cell>
          <cell r="B244" t="str">
            <v>ас.  Деница  Шаркова</v>
          </cell>
          <cell r="C244" t="str">
            <v>ас.</v>
          </cell>
          <cell r="E244" t="str">
            <v xml:space="preserve">Деница </v>
          </cell>
          <cell r="F244" t="str">
            <v>Ангелова</v>
          </cell>
          <cell r="G244" t="str">
            <v>Шаркова</v>
          </cell>
          <cell r="L244" t="str">
            <v>ХОН</v>
          </cell>
          <cell r="N244" t="str">
            <v>05.04.20 Германски езици</v>
          </cell>
          <cell r="O244"/>
          <cell r="P244"/>
          <cell r="R244"/>
          <cell r="T244"/>
          <cell r="V244"/>
          <cell r="X244"/>
          <cell r="Z244"/>
        </row>
        <row r="245">
          <cell r="A245" t="str">
            <v>Друмев</v>
          </cell>
          <cell r="B245" t="str">
            <v>ас.  Илиан  Друмев</v>
          </cell>
          <cell r="C245" t="str">
            <v>ас.</v>
          </cell>
          <cell r="E245" t="str">
            <v xml:space="preserve">Илиан </v>
          </cell>
          <cell r="F245" t="str">
            <v>Пенков</v>
          </cell>
          <cell r="G245" t="str">
            <v>Друмев</v>
          </cell>
          <cell r="L245" t="str">
            <v>ХОН</v>
          </cell>
          <cell r="N245" t="str">
            <v>05.04.20 Германски езици</v>
          </cell>
          <cell r="O245"/>
          <cell r="P245"/>
          <cell r="R245"/>
          <cell r="T245"/>
          <cell r="V245"/>
          <cell r="X245"/>
          <cell r="Z245"/>
        </row>
        <row r="246">
          <cell r="A246" t="str">
            <v>Консулова-Дийнър</v>
          </cell>
          <cell r="B246" t="str">
            <v>ас.  Албена Консулова-Дийнър</v>
          </cell>
          <cell r="C246" t="str">
            <v>ас.</v>
          </cell>
          <cell r="E246" t="str">
            <v>Албена</v>
          </cell>
          <cell r="F246" t="str">
            <v>Цанимилова</v>
          </cell>
          <cell r="G246" t="str">
            <v>Консулова-Дийнър</v>
          </cell>
          <cell r="L246" t="str">
            <v>ХОН</v>
          </cell>
          <cell r="N246" t="str">
            <v>05.04.20 Германски езици</v>
          </cell>
          <cell r="O246"/>
          <cell r="P246"/>
          <cell r="R246"/>
          <cell r="T246"/>
          <cell r="V246"/>
          <cell r="X246"/>
          <cell r="Z246"/>
        </row>
        <row r="247">
          <cell r="A247" t="str">
            <v>Бойкова</v>
          </cell>
          <cell r="B247" t="str">
            <v>ас.  Кирина Бойкова</v>
          </cell>
          <cell r="C247" t="str">
            <v>ас.</v>
          </cell>
          <cell r="E247" t="str">
            <v>Кирина</v>
          </cell>
          <cell r="F247" t="str">
            <v>Димитрова</v>
          </cell>
          <cell r="G247" t="str">
            <v>Бойкова</v>
          </cell>
          <cell r="L247" t="str">
            <v>ХОН</v>
          </cell>
          <cell r="N247" t="str">
            <v>05.04.20 Германски езици</v>
          </cell>
          <cell r="O247"/>
          <cell r="P247"/>
          <cell r="R247"/>
          <cell r="T247"/>
          <cell r="V247"/>
          <cell r="X247"/>
          <cell r="Z247"/>
        </row>
        <row r="248">
          <cell r="A248" t="str">
            <v>Цветков</v>
          </cell>
          <cell r="B248" t="str">
            <v>ас.  Цветелин Цветков</v>
          </cell>
          <cell r="C248" t="str">
            <v>ас.</v>
          </cell>
          <cell r="E248" t="str">
            <v>Цветелин</v>
          </cell>
          <cell r="F248" t="str">
            <v>Руменов</v>
          </cell>
          <cell r="G248" t="str">
            <v>Цветков</v>
          </cell>
          <cell r="L248" t="str">
            <v>ХОН</v>
          </cell>
          <cell r="N248" t="str">
            <v>05.04.20 Германски езици</v>
          </cell>
          <cell r="O248"/>
          <cell r="P248"/>
          <cell r="R248"/>
          <cell r="T248"/>
          <cell r="V248"/>
          <cell r="X248"/>
          <cell r="Z248"/>
        </row>
        <row r="249">
          <cell r="A249" t="str">
            <v>Гогалчева</v>
          </cell>
          <cell r="B249" t="str">
            <v>ас.  Магдалена Гогалчева</v>
          </cell>
          <cell r="C249" t="str">
            <v>ас.</v>
          </cell>
          <cell r="E249" t="str">
            <v>Магдалена</v>
          </cell>
          <cell r="F249" t="str">
            <v>Деянова</v>
          </cell>
          <cell r="G249" t="str">
            <v>Гогалчева</v>
          </cell>
          <cell r="L249" t="str">
            <v>ХОН</v>
          </cell>
          <cell r="N249" t="str">
            <v>05.04.20 Германски езици</v>
          </cell>
          <cell r="O249"/>
          <cell r="P249"/>
          <cell r="R249"/>
          <cell r="T249"/>
          <cell r="V249"/>
          <cell r="X249"/>
          <cell r="Z249"/>
        </row>
        <row r="250">
          <cell r="A250" t="str">
            <v>Нанева</v>
          </cell>
          <cell r="B250" t="str">
            <v>ас.  Мария Нанева</v>
          </cell>
          <cell r="C250" t="str">
            <v>ас.</v>
          </cell>
          <cell r="E250" t="str">
            <v>Мария</v>
          </cell>
          <cell r="F250" t="str">
            <v>Атанасова</v>
          </cell>
          <cell r="G250" t="str">
            <v>Нанева</v>
          </cell>
          <cell r="L250" t="str">
            <v>ХОН</v>
          </cell>
          <cell r="N250" t="str">
            <v>05.04.21 Романски езици</v>
          </cell>
          <cell r="O250"/>
          <cell r="P250"/>
          <cell r="R250"/>
          <cell r="T250"/>
          <cell r="V250"/>
          <cell r="X250"/>
          <cell r="Z250"/>
        </row>
        <row r="251">
          <cell r="A251" t="str">
            <v>Де Манев</v>
          </cell>
          <cell r="B251" t="str">
            <v>ас.  Джесика Де Манев</v>
          </cell>
          <cell r="C251" t="str">
            <v>ас.</v>
          </cell>
          <cell r="E251" t="str">
            <v>Джесика</v>
          </cell>
          <cell r="F251" t="str">
            <v>Сиаботару</v>
          </cell>
          <cell r="G251" t="str">
            <v>Де Манев</v>
          </cell>
          <cell r="L251" t="str">
            <v>ХОН</v>
          </cell>
          <cell r="N251" t="str">
            <v>05.04.21 Романски езици</v>
          </cell>
          <cell r="O251"/>
          <cell r="P251"/>
          <cell r="R251"/>
          <cell r="T251"/>
          <cell r="V251"/>
          <cell r="X251"/>
          <cell r="Z251"/>
        </row>
        <row r="252">
          <cell r="A252" t="str">
            <v>Ортега</v>
          </cell>
          <cell r="B252" t="str">
            <v>ас.  Пресентасион Ортега</v>
          </cell>
          <cell r="C252" t="str">
            <v>ас.</v>
          </cell>
          <cell r="E252" t="str">
            <v>Пресентасион</v>
          </cell>
          <cell r="G252" t="str">
            <v>Ортега</v>
          </cell>
          <cell r="L252" t="str">
            <v>ХОН</v>
          </cell>
          <cell r="N252" t="str">
            <v>05.04.21 Романски езици</v>
          </cell>
          <cell r="O252"/>
          <cell r="P252"/>
          <cell r="R252"/>
          <cell r="T252"/>
          <cell r="V252"/>
          <cell r="X252"/>
          <cell r="Z252"/>
        </row>
        <row r="253">
          <cell r="A253" t="str">
            <v>Мишкова-Делева</v>
          </cell>
          <cell r="B253" t="str">
            <v>ас.  Олга  Мишкова-Делева</v>
          </cell>
          <cell r="C253" t="str">
            <v>ас.</v>
          </cell>
          <cell r="E253" t="str">
            <v xml:space="preserve">Олга </v>
          </cell>
          <cell r="F253" t="str">
            <v>Михайлова</v>
          </cell>
          <cell r="G253" t="str">
            <v>Мишкова-Делева</v>
          </cell>
          <cell r="L253" t="str">
            <v>ХОН</v>
          </cell>
          <cell r="N253" t="str">
            <v>05.04.20 Германски езици</v>
          </cell>
          <cell r="O253"/>
          <cell r="P253"/>
          <cell r="R253"/>
          <cell r="T253"/>
          <cell r="V253"/>
          <cell r="X253"/>
          <cell r="Z253"/>
        </row>
        <row r="254">
          <cell r="A254" t="str">
            <v>Фурнаджиева</v>
          </cell>
          <cell r="B254" t="str">
            <v>ас.  Надя Фурнаджиева</v>
          </cell>
          <cell r="C254" t="str">
            <v>ас.</v>
          </cell>
          <cell r="E254" t="str">
            <v>Надя</v>
          </cell>
          <cell r="F254" t="str">
            <v>Иванова</v>
          </cell>
          <cell r="G254" t="str">
            <v>Фурнаджиева</v>
          </cell>
          <cell r="L254" t="str">
            <v>ХОН</v>
          </cell>
          <cell r="N254" t="str">
            <v>05.04.16 Теория и практика на превода</v>
          </cell>
          <cell r="O254"/>
          <cell r="P254"/>
          <cell r="R254"/>
          <cell r="T254"/>
          <cell r="V254"/>
          <cell r="X254"/>
          <cell r="Z254"/>
        </row>
        <row r="255">
          <cell r="A255" t="str">
            <v>Кочева</v>
          </cell>
          <cell r="B255" t="str">
            <v>ас.  Даниела Кочева</v>
          </cell>
          <cell r="C255" t="str">
            <v>ас.</v>
          </cell>
          <cell r="E255" t="str">
            <v>Даниела</v>
          </cell>
          <cell r="F255" t="str">
            <v>Стоянова</v>
          </cell>
          <cell r="G255" t="str">
            <v>Кочева</v>
          </cell>
          <cell r="L255" t="str">
            <v>ХОН</v>
          </cell>
          <cell r="N255" t="str">
            <v>05.04.21 Романски езици</v>
          </cell>
          <cell r="O255"/>
          <cell r="P255"/>
          <cell r="R255"/>
          <cell r="T255"/>
          <cell r="V255"/>
          <cell r="X255"/>
          <cell r="Z255"/>
        </row>
        <row r="256">
          <cell r="A256" t="str">
            <v>Чочева</v>
          </cell>
          <cell r="B256" t="str">
            <v>ас.  Нина Чочева</v>
          </cell>
          <cell r="C256" t="str">
            <v>ас.</v>
          </cell>
          <cell r="E256" t="str">
            <v>Нина</v>
          </cell>
          <cell r="F256" t="str">
            <v>Кръстева</v>
          </cell>
          <cell r="G256" t="str">
            <v>Чочева</v>
          </cell>
          <cell r="L256" t="str">
            <v>ХОН</v>
          </cell>
          <cell r="N256" t="str">
            <v>05.04.21 Романски езици</v>
          </cell>
          <cell r="O256"/>
          <cell r="P256"/>
          <cell r="R256"/>
          <cell r="T256"/>
          <cell r="V256"/>
          <cell r="X256"/>
          <cell r="Z256"/>
        </row>
        <row r="257">
          <cell r="A257" t="str">
            <v>Стефанов</v>
          </cell>
          <cell r="B257" t="str">
            <v>доц.  Стефан  Стефанов</v>
          </cell>
          <cell r="C257" t="str">
            <v>доц.</v>
          </cell>
          <cell r="E257" t="str">
            <v xml:space="preserve">Стефан </v>
          </cell>
          <cell r="F257" t="str">
            <v xml:space="preserve">Андреев </v>
          </cell>
          <cell r="G257" t="str">
            <v>Стефанов</v>
          </cell>
          <cell r="J257" t="str">
            <v>05.04.23 Ирански езици, семитско-хамитски езици, тюркски, монголски езици, угро-фински езици</v>
          </cell>
          <cell r="L257" t="str">
            <v>ХОН</v>
          </cell>
          <cell r="O257"/>
          <cell r="P257"/>
          <cell r="R257"/>
          <cell r="T257"/>
          <cell r="V257"/>
          <cell r="X257"/>
          <cell r="Z257"/>
        </row>
        <row r="258">
          <cell r="A258" t="str">
            <v>Франдзескакис</v>
          </cell>
          <cell r="B258" t="str">
            <v>ас.  Александрос Франдзескакис</v>
          </cell>
          <cell r="C258" t="str">
            <v>ас.</v>
          </cell>
          <cell r="E258" t="str">
            <v>Александрос</v>
          </cell>
          <cell r="G258" t="str">
            <v>Франдзескакис</v>
          </cell>
          <cell r="L258" t="str">
            <v>ХОН</v>
          </cell>
          <cell r="N258" t="str">
            <v>05.04.11 Общо и сравнително езикознание</v>
          </cell>
          <cell r="O258"/>
          <cell r="P258"/>
          <cell r="R258"/>
          <cell r="T258"/>
          <cell r="V258"/>
          <cell r="X258"/>
          <cell r="Z258"/>
        </row>
        <row r="259">
          <cell r="A259" t="str">
            <v>Александров</v>
          </cell>
          <cell r="B259" t="str">
            <v>ас.  Александър Александров</v>
          </cell>
          <cell r="C259" t="str">
            <v>ас.</v>
          </cell>
          <cell r="E259" t="str">
            <v>Александър</v>
          </cell>
          <cell r="F259" t="str">
            <v>Здравков</v>
          </cell>
          <cell r="G259" t="str">
            <v>Александров</v>
          </cell>
          <cell r="L259" t="str">
            <v>ХОН</v>
          </cell>
          <cell r="N259" t="str">
            <v>05.04.23 Ирански езици, семитско-хамитски езици, тюркски, монголски езици, угро-фински езици</v>
          </cell>
          <cell r="O259"/>
          <cell r="P259"/>
          <cell r="R259"/>
          <cell r="T259"/>
          <cell r="V259"/>
          <cell r="X259"/>
          <cell r="Z259"/>
        </row>
        <row r="260">
          <cell r="A260" t="str">
            <v>Шопова</v>
          </cell>
          <cell r="B260" t="str">
            <v>ас.  Ангелина Шопова</v>
          </cell>
          <cell r="C260" t="str">
            <v>ас.</v>
          </cell>
          <cell r="E260" t="str">
            <v>Ангелина</v>
          </cell>
          <cell r="F260" t="str">
            <v>Петкова</v>
          </cell>
          <cell r="G260" t="str">
            <v>Шопова</v>
          </cell>
          <cell r="L260" t="str">
            <v>ХОН</v>
          </cell>
          <cell r="N260" t="str">
            <v>05.04.22 Класически езици</v>
          </cell>
          <cell r="O260"/>
          <cell r="P260"/>
          <cell r="R260"/>
          <cell r="T260"/>
          <cell r="V260"/>
          <cell r="X260"/>
          <cell r="Z260"/>
        </row>
        <row r="261">
          <cell r="A261" t="str">
            <v xml:space="preserve">Василев </v>
          </cell>
          <cell r="B261" t="str">
            <v xml:space="preserve">ас.  Васил Василев </v>
          </cell>
          <cell r="C261" t="str">
            <v>ас.</v>
          </cell>
          <cell r="E261" t="str">
            <v>Васил</v>
          </cell>
          <cell r="F261" t="str">
            <v>Богомилов</v>
          </cell>
          <cell r="G261" t="str">
            <v xml:space="preserve">Василев </v>
          </cell>
          <cell r="L261" t="str">
            <v>ХОН</v>
          </cell>
          <cell r="N261" t="str">
            <v>05.04.21 Романски езици</v>
          </cell>
          <cell r="O261"/>
          <cell r="P261"/>
          <cell r="R261"/>
          <cell r="T261"/>
          <cell r="V261"/>
          <cell r="X261"/>
          <cell r="Z261"/>
        </row>
        <row r="262">
          <cell r="A262" t="str">
            <v>Апостолов</v>
          </cell>
          <cell r="B262" t="str">
            <v>ас.  Владимир Апостолов</v>
          </cell>
          <cell r="C262" t="str">
            <v>ас.</v>
          </cell>
          <cell r="E262" t="str">
            <v>Владимир</v>
          </cell>
          <cell r="F262" t="str">
            <v>Красимиров</v>
          </cell>
          <cell r="G262" t="str">
            <v>Апостолов</v>
          </cell>
          <cell r="L262" t="str">
            <v>ХОН</v>
          </cell>
          <cell r="N262" t="str">
            <v>05.04.11 Общо и сравнително езикознание</v>
          </cell>
          <cell r="O262"/>
          <cell r="P262"/>
          <cell r="R262"/>
          <cell r="T262"/>
          <cell r="V262"/>
          <cell r="X262"/>
          <cell r="Z262"/>
        </row>
        <row r="263">
          <cell r="A263" t="str">
            <v>Мирчев</v>
          </cell>
          <cell r="B263" t="str">
            <v>ас.  Димитър  Мирчев</v>
          </cell>
          <cell r="C263" t="str">
            <v>ас.</v>
          </cell>
          <cell r="E263" t="str">
            <v xml:space="preserve">Димитър </v>
          </cell>
          <cell r="F263" t="str">
            <v>Атанасов</v>
          </cell>
          <cell r="G263" t="str">
            <v>Мирчев</v>
          </cell>
          <cell r="L263" t="str">
            <v>ХОН</v>
          </cell>
          <cell r="N263" t="str">
            <v>05.04.22 Класически езици</v>
          </cell>
          <cell r="O263"/>
          <cell r="P263"/>
          <cell r="R263"/>
          <cell r="T263"/>
          <cell r="V263"/>
          <cell r="X263"/>
          <cell r="Z263"/>
        </row>
        <row r="264">
          <cell r="A264" t="str">
            <v>Чери</v>
          </cell>
          <cell r="B264" t="str">
            <v>ас.  Рамазан Чери</v>
          </cell>
          <cell r="C264" t="str">
            <v>ас.</v>
          </cell>
          <cell r="E264" t="str">
            <v>Рамазан</v>
          </cell>
          <cell r="G264" t="str">
            <v>Чери</v>
          </cell>
          <cell r="L264" t="str">
            <v>ХОН</v>
          </cell>
          <cell r="N264" t="str">
            <v>05.04.23 Ирански езици, семитско-хамитски езици, тюркски, монголски езици, угро-фински езици</v>
          </cell>
          <cell r="O264"/>
          <cell r="P264"/>
          <cell r="R264"/>
          <cell r="T264"/>
          <cell r="V264"/>
          <cell r="X264"/>
          <cell r="Z264"/>
        </row>
        <row r="265">
          <cell r="A265" t="str">
            <v>Петров</v>
          </cell>
          <cell r="B265" t="str">
            <v>ас.  Станимир  Петров</v>
          </cell>
          <cell r="C265" t="str">
            <v>ас.</v>
          </cell>
          <cell r="E265" t="str">
            <v xml:space="preserve">Станимир </v>
          </cell>
          <cell r="F265" t="str">
            <v>Василев</v>
          </cell>
          <cell r="G265" t="str">
            <v>Петров</v>
          </cell>
          <cell r="L265" t="str">
            <v>ХОН</v>
          </cell>
          <cell r="N265" t="str">
            <v>05.04.11 Общо и сравнително езикознание</v>
          </cell>
          <cell r="O265"/>
          <cell r="P265"/>
          <cell r="R265"/>
          <cell r="T265"/>
          <cell r="V265"/>
          <cell r="X265"/>
          <cell r="Z265"/>
        </row>
        <row r="266">
          <cell r="A266" t="str">
            <v>Найденова</v>
          </cell>
          <cell r="B266" t="str">
            <v>ас.  Таня Найденова</v>
          </cell>
          <cell r="C266" t="str">
            <v>ас.</v>
          </cell>
          <cell r="E266" t="str">
            <v>Таня</v>
          </cell>
          <cell r="F266" t="str">
            <v>Станиславова</v>
          </cell>
          <cell r="G266" t="str">
            <v>Найденова</v>
          </cell>
          <cell r="L266" t="str">
            <v>ХОН</v>
          </cell>
          <cell r="N266" t="str">
            <v>05.04.21 Романски езици</v>
          </cell>
          <cell r="O266"/>
          <cell r="P266"/>
          <cell r="R266"/>
          <cell r="T266"/>
          <cell r="V266"/>
          <cell r="X266"/>
          <cell r="Z266"/>
        </row>
        <row r="267">
          <cell r="A267" t="str">
            <v>Кортес</v>
          </cell>
          <cell r="B267" t="str">
            <v>ас.  Карлос Кортес</v>
          </cell>
          <cell r="C267" t="str">
            <v>ас.</v>
          </cell>
          <cell r="E267" t="str">
            <v>Карлос</v>
          </cell>
          <cell r="F267" t="str">
            <v>Хернандес</v>
          </cell>
          <cell r="G267" t="str">
            <v>Кортес</v>
          </cell>
          <cell r="L267" t="str">
            <v>ХОН</v>
          </cell>
          <cell r="N267" t="str">
            <v>05.04.21 Романски езици</v>
          </cell>
          <cell r="O267"/>
          <cell r="P267"/>
          <cell r="R267"/>
          <cell r="T267"/>
          <cell r="V267"/>
          <cell r="X267"/>
          <cell r="Z267"/>
        </row>
        <row r="268">
          <cell r="A268" t="str">
            <v>Цветковова</v>
          </cell>
          <cell r="B268" t="str">
            <v>ас.  Анна Цветковова</v>
          </cell>
          <cell r="C268" t="str">
            <v>ас.</v>
          </cell>
          <cell r="E268" t="str">
            <v>Анна</v>
          </cell>
          <cell r="F268" t="str">
            <v>Колевова</v>
          </cell>
          <cell r="G268" t="str">
            <v>Цветковова</v>
          </cell>
          <cell r="L268" t="str">
            <v>ХОН</v>
          </cell>
          <cell r="N268" t="str">
            <v>05.04.18 Славянски езици</v>
          </cell>
          <cell r="O268"/>
          <cell r="P268"/>
          <cell r="R268"/>
          <cell r="T268"/>
          <cell r="V268"/>
          <cell r="X268"/>
          <cell r="Z268"/>
        </row>
        <row r="269">
          <cell r="A269" t="str">
            <v>Тодорова</v>
          </cell>
          <cell r="B269" t="str">
            <v>ас.  Валя  Тодорова</v>
          </cell>
          <cell r="C269" t="str">
            <v>ас.</v>
          </cell>
          <cell r="E269" t="str">
            <v xml:space="preserve">Валя </v>
          </cell>
          <cell r="F269" t="str">
            <v xml:space="preserve">Тодорова </v>
          </cell>
          <cell r="G269" t="str">
            <v>Тодорова</v>
          </cell>
          <cell r="L269" t="str">
            <v>ХОН</v>
          </cell>
          <cell r="N269" t="str">
            <v>05.04.35 Езици на народите на Азия, Африка и Америка</v>
          </cell>
          <cell r="O269"/>
          <cell r="P269"/>
          <cell r="R269"/>
          <cell r="T269"/>
          <cell r="V269"/>
          <cell r="X269"/>
          <cell r="Z269"/>
        </row>
        <row r="270">
          <cell r="A270" t="str">
            <v>Иванчев</v>
          </cell>
          <cell r="B270" t="str">
            <v>ас.  Стефан  Иванчев</v>
          </cell>
          <cell r="C270" t="str">
            <v>ас.</v>
          </cell>
          <cell r="E270" t="str">
            <v xml:space="preserve">Стефан </v>
          </cell>
          <cell r="F270" t="str">
            <v>Пламенов</v>
          </cell>
          <cell r="G270" t="str">
            <v>Иванчев</v>
          </cell>
          <cell r="L270" t="str">
            <v>ХОН</v>
          </cell>
          <cell r="N270" t="str">
            <v>05.04.35 Езици на народите на Азия, Африка и Америка</v>
          </cell>
          <cell r="O270"/>
          <cell r="P270"/>
          <cell r="R270"/>
          <cell r="T270"/>
          <cell r="V270"/>
          <cell r="X270"/>
          <cell r="Z270"/>
        </row>
        <row r="271">
          <cell r="A271" t="str">
            <v>Пенева</v>
          </cell>
          <cell r="B271" t="str">
            <v>ас.  Теодора  Пенева</v>
          </cell>
          <cell r="C271" t="str">
            <v>ас.</v>
          </cell>
          <cell r="E271" t="str">
            <v xml:space="preserve">Теодора </v>
          </cell>
          <cell r="F271" t="str">
            <v>Маргаритова</v>
          </cell>
          <cell r="G271" t="str">
            <v>Пенева</v>
          </cell>
          <cell r="L271" t="str">
            <v>ХОН</v>
          </cell>
          <cell r="N271" t="str">
            <v>05.04.35 Езици на народите на Азия, Африка и Америка</v>
          </cell>
          <cell r="O271"/>
          <cell r="P271"/>
          <cell r="R271"/>
          <cell r="T271"/>
          <cell r="V271"/>
          <cell r="X271"/>
          <cell r="Z271"/>
        </row>
        <row r="272">
          <cell r="A272" t="str">
            <v>Георгиева</v>
          </cell>
          <cell r="B272" t="str">
            <v>ас.  Неделина Георгиева</v>
          </cell>
          <cell r="C272" t="str">
            <v>ас.</v>
          </cell>
          <cell r="E272" t="str">
            <v>Неделина</v>
          </cell>
          <cell r="F272" t="str">
            <v>Георгиева</v>
          </cell>
          <cell r="G272" t="str">
            <v>Георгиева</v>
          </cell>
          <cell r="L272" t="str">
            <v>ХОН</v>
          </cell>
          <cell r="N272" t="str">
            <v>05.04.35 Езици на народите на Азия, Африка и Америка</v>
          </cell>
          <cell r="O272"/>
          <cell r="P272"/>
          <cell r="R272"/>
          <cell r="T272"/>
          <cell r="V272"/>
          <cell r="X272"/>
          <cell r="Z272"/>
        </row>
        <row r="273">
          <cell r="A273" t="str">
            <v>Шехенян</v>
          </cell>
          <cell r="B273" t="str">
            <v>ас.  Ема Шехенян</v>
          </cell>
          <cell r="C273" t="str">
            <v>ас.</v>
          </cell>
          <cell r="E273" t="str">
            <v>Ема</v>
          </cell>
          <cell r="F273" t="str">
            <v>Андреас</v>
          </cell>
          <cell r="G273" t="str">
            <v>Шехенян</v>
          </cell>
          <cell r="L273" t="str">
            <v>ХОН</v>
          </cell>
          <cell r="N273" t="str">
            <v>05.04.35 Езици на народите на Азия, Африка и Америка</v>
          </cell>
          <cell r="O273"/>
          <cell r="P273"/>
          <cell r="R273"/>
          <cell r="T273"/>
          <cell r="V273"/>
          <cell r="X273"/>
          <cell r="Z273"/>
        </row>
        <row r="274">
          <cell r="A274" t="str">
            <v>Джан</v>
          </cell>
          <cell r="B274" t="str">
            <v>ас.  Лай Джан</v>
          </cell>
          <cell r="C274" t="str">
            <v>ас.</v>
          </cell>
          <cell r="E274" t="str">
            <v>Лай</v>
          </cell>
          <cell r="G274" t="str">
            <v>Джан</v>
          </cell>
          <cell r="L274" t="str">
            <v>ХОН</v>
          </cell>
          <cell r="N274" t="str">
            <v>05.04.35 Езици на народите на Азия, Африка и Америка</v>
          </cell>
          <cell r="O274"/>
          <cell r="P274"/>
          <cell r="R274"/>
          <cell r="T274"/>
          <cell r="V274"/>
          <cell r="X274"/>
          <cell r="Z274"/>
        </row>
        <row r="275">
          <cell r="A275" t="str">
            <v>Карастойчев</v>
          </cell>
          <cell r="B275" t="str">
            <v>ас.  Веселин  Карастойчев</v>
          </cell>
          <cell r="C275" t="str">
            <v>ас.</v>
          </cell>
          <cell r="E275" t="str">
            <v xml:space="preserve">Веселин </v>
          </cell>
          <cell r="F275" t="str">
            <v>Георгиев</v>
          </cell>
          <cell r="G275" t="str">
            <v>Карастойчев</v>
          </cell>
          <cell r="L275" t="str">
            <v>ХОН</v>
          </cell>
          <cell r="N275" t="str">
            <v>05.04.06 Литература на народите на Европа, Америка, Африка, Азия и Австралия</v>
          </cell>
          <cell r="O275"/>
          <cell r="P275"/>
          <cell r="R275"/>
          <cell r="T275"/>
          <cell r="V275"/>
          <cell r="X275"/>
          <cell r="Z275"/>
        </row>
        <row r="276">
          <cell r="A276" t="str">
            <v>Генчева</v>
          </cell>
          <cell r="B276" t="str">
            <v>ас.  Иванка Генчева</v>
          </cell>
          <cell r="C276" t="str">
            <v>ас.</v>
          </cell>
          <cell r="E276" t="str">
            <v>Иванка</v>
          </cell>
          <cell r="F276" t="str">
            <v>Ангелова</v>
          </cell>
          <cell r="G276" t="str">
            <v>Генчева</v>
          </cell>
          <cell r="L276" t="str">
            <v>ХОН</v>
          </cell>
          <cell r="N276" t="str">
            <v>05.04.22 Германски езици</v>
          </cell>
          <cell r="O276"/>
          <cell r="P276"/>
          <cell r="R276"/>
          <cell r="T276"/>
          <cell r="V276"/>
          <cell r="X276"/>
          <cell r="Z276"/>
        </row>
        <row r="277">
          <cell r="A277" t="str">
            <v>Иванова</v>
          </cell>
          <cell r="B277" t="str">
            <v>ас.  Надежда Иванова</v>
          </cell>
          <cell r="C277" t="str">
            <v>ас.</v>
          </cell>
          <cell r="E277" t="str">
            <v>Надежда</v>
          </cell>
          <cell r="F277" t="str">
            <v>Трифонова</v>
          </cell>
          <cell r="G277" t="str">
            <v>Иванова</v>
          </cell>
          <cell r="L277" t="str">
            <v>ХОН</v>
          </cell>
          <cell r="N277" t="str">
            <v>05.04.22 Германски езици</v>
          </cell>
          <cell r="O277"/>
          <cell r="P277"/>
          <cell r="R277"/>
          <cell r="T277"/>
          <cell r="V277"/>
          <cell r="X277"/>
          <cell r="Z277"/>
        </row>
        <row r="278">
          <cell r="A278" t="str">
            <v xml:space="preserve">Стоянова </v>
          </cell>
          <cell r="B278" t="str">
            <v xml:space="preserve">ас.  Антония Стоянова </v>
          </cell>
          <cell r="C278" t="str">
            <v>ас.</v>
          </cell>
          <cell r="E278" t="str">
            <v>Антония</v>
          </cell>
          <cell r="F278" t="str">
            <v>Веселинова</v>
          </cell>
          <cell r="G278" t="str">
            <v xml:space="preserve">Стоянова </v>
          </cell>
          <cell r="L278" t="str">
            <v>ХОН</v>
          </cell>
          <cell r="N278" t="str">
            <v>05.04.22 Германски езици</v>
          </cell>
          <cell r="O278"/>
          <cell r="P278"/>
          <cell r="R278"/>
          <cell r="T278"/>
          <cell r="V278"/>
          <cell r="X278"/>
          <cell r="Z278"/>
        </row>
        <row r="279">
          <cell r="A279" t="str">
            <v>Ставрева</v>
          </cell>
          <cell r="B279" t="str">
            <v>ас.  Анелия  Ставрева</v>
          </cell>
          <cell r="C279" t="str">
            <v>ас.</v>
          </cell>
          <cell r="E279" t="str">
            <v xml:space="preserve">Анелия </v>
          </cell>
          <cell r="F279" t="str">
            <v>Георгиева</v>
          </cell>
          <cell r="G279" t="str">
            <v>Ставрева</v>
          </cell>
          <cell r="L279" t="str">
            <v>ХОН</v>
          </cell>
          <cell r="N279" t="str">
            <v>05.04.22 Германски езици</v>
          </cell>
          <cell r="O279"/>
          <cell r="P279"/>
          <cell r="R279"/>
          <cell r="T279"/>
          <cell r="V279"/>
          <cell r="X279"/>
          <cell r="Z279"/>
        </row>
        <row r="280">
          <cell r="A280" t="str">
            <v>Петкова</v>
          </cell>
          <cell r="B280" t="str">
            <v>ас.  Гергана Петкова</v>
          </cell>
          <cell r="C280" t="str">
            <v>ас.</v>
          </cell>
          <cell r="E280" t="str">
            <v>Гергана</v>
          </cell>
          <cell r="F280" t="str">
            <v>Ангелова</v>
          </cell>
          <cell r="G280" t="str">
            <v>Петкова</v>
          </cell>
          <cell r="L280" t="str">
            <v>ХОН</v>
          </cell>
          <cell r="N280" t="str">
            <v>05.04.21 Романски езици</v>
          </cell>
          <cell r="O280"/>
          <cell r="P280"/>
          <cell r="R280"/>
          <cell r="T280"/>
          <cell r="V280"/>
          <cell r="X280"/>
          <cell r="Z280"/>
        </row>
        <row r="281">
          <cell r="A281" t="str">
            <v>Дечева-Владимирова</v>
          </cell>
          <cell r="B281" t="str">
            <v>ас.  Елица Дечева-Владимирова</v>
          </cell>
          <cell r="C281" t="str">
            <v>ас.</v>
          </cell>
          <cell r="E281" t="str">
            <v>Елица</v>
          </cell>
          <cell r="F281" t="str">
            <v>Петрова</v>
          </cell>
          <cell r="G281" t="str">
            <v>Дечева-Владимирова</v>
          </cell>
          <cell r="L281" t="str">
            <v>ХОН</v>
          </cell>
          <cell r="N281" t="str">
            <v>05.04.21 Романски езици</v>
          </cell>
          <cell r="O281"/>
          <cell r="P281"/>
          <cell r="R281"/>
          <cell r="T281"/>
          <cell r="V281"/>
          <cell r="X281"/>
          <cell r="Z281"/>
        </row>
        <row r="282">
          <cell r="A282" t="str">
            <v>Тилева</v>
          </cell>
          <cell r="B282" t="str">
            <v>ас.  Илиана Тилева</v>
          </cell>
          <cell r="C282" t="str">
            <v>ас.</v>
          </cell>
          <cell r="E282" t="str">
            <v>Илиана</v>
          </cell>
          <cell r="F282" t="str">
            <v>Тилева</v>
          </cell>
          <cell r="G282" t="str">
            <v>Тилева</v>
          </cell>
          <cell r="L282" t="str">
            <v>ХОН</v>
          </cell>
          <cell r="N282" t="str">
            <v>05.04.21 Романски езици</v>
          </cell>
          <cell r="O282"/>
          <cell r="P282"/>
          <cell r="R282"/>
          <cell r="T282"/>
          <cell r="V282"/>
          <cell r="X282"/>
          <cell r="Z282"/>
        </row>
        <row r="283">
          <cell r="A283" t="str">
            <v>Кралев</v>
          </cell>
          <cell r="B283" t="str">
            <v>ас.  Стефан  Кралев</v>
          </cell>
          <cell r="C283" t="str">
            <v>ас.</v>
          </cell>
          <cell r="E283" t="str">
            <v xml:space="preserve">Стефан </v>
          </cell>
          <cell r="F283" t="str">
            <v>Георгиев</v>
          </cell>
          <cell r="G283" t="str">
            <v>Кралев</v>
          </cell>
          <cell r="L283" t="str">
            <v>ХОН</v>
          </cell>
          <cell r="N283" t="str">
            <v>05.04.21 Романски езици</v>
          </cell>
          <cell r="O283"/>
          <cell r="P283"/>
          <cell r="R283"/>
          <cell r="T283"/>
          <cell r="V283"/>
          <cell r="X283"/>
          <cell r="Z283"/>
        </row>
        <row r="284">
          <cell r="A284" t="str">
            <v>Широкова</v>
          </cell>
          <cell r="B284" t="str">
            <v>ас.  Кунка Широкова</v>
          </cell>
          <cell r="C284" t="str">
            <v>ас.</v>
          </cell>
          <cell r="E284" t="str">
            <v>Кунка</v>
          </cell>
          <cell r="F284" t="str">
            <v>Василева</v>
          </cell>
          <cell r="G284" t="str">
            <v>Широкова</v>
          </cell>
          <cell r="L284" t="str">
            <v>ХОН</v>
          </cell>
          <cell r="N284" t="str">
            <v>05.04.21</v>
          </cell>
          <cell r="O284"/>
          <cell r="P284"/>
          <cell r="R284"/>
          <cell r="T284"/>
          <cell r="V284"/>
          <cell r="X284"/>
          <cell r="Z284"/>
        </row>
        <row r="285">
          <cell r="A285" t="str">
            <v>Явузаслан</v>
          </cell>
          <cell r="B285" t="str">
            <v>доц. д-р Паша Явузаслан</v>
          </cell>
          <cell r="C285" t="str">
            <v>доц.</v>
          </cell>
          <cell r="D285" t="str">
            <v>д-р</v>
          </cell>
          <cell r="E285" t="str">
            <v>Паша</v>
          </cell>
          <cell r="G285" t="str">
            <v>Явузаслан</v>
          </cell>
          <cell r="L285" t="str">
            <v>ХОН</v>
          </cell>
        </row>
        <row r="286">
          <cell r="A286" t="str">
            <v>Карагюл</v>
          </cell>
          <cell r="B286" t="str">
            <v>доц. д-р Аднан Карагюл</v>
          </cell>
          <cell r="C286" t="str">
            <v>доц.</v>
          </cell>
          <cell r="D286" t="str">
            <v>д-р</v>
          </cell>
          <cell r="E286" t="str">
            <v>Аднан</v>
          </cell>
          <cell r="G286" t="str">
            <v>Карагюл</v>
          </cell>
          <cell r="L286" t="str">
            <v>ХОН</v>
          </cell>
        </row>
        <row r="287">
          <cell r="A287" t="str">
            <v>хун</v>
          </cell>
          <cell r="B287" t="str">
            <v>доц. д-р Хун Сунджонг</v>
          </cell>
          <cell r="C287" t="str">
            <v>доц.</v>
          </cell>
          <cell r="D287" t="str">
            <v>д-р</v>
          </cell>
          <cell r="E287" t="str">
            <v>Хун</v>
          </cell>
          <cell r="G287" t="str">
            <v>Сунджонг</v>
          </cell>
          <cell r="L287" t="str">
            <v>ОТД</v>
          </cell>
          <cell r="M287">
            <v>1968</v>
          </cell>
        </row>
        <row r="288">
          <cell r="A288" t="str">
            <v>Шахинян</v>
          </cell>
          <cell r="B288" t="str">
            <v>ас.  Ема Шахинян</v>
          </cell>
          <cell r="C288" t="str">
            <v>ас.</v>
          </cell>
          <cell r="E288" t="str">
            <v>Ема</v>
          </cell>
          <cell r="G288" t="str">
            <v>Шахинян</v>
          </cell>
          <cell r="L288" t="str">
            <v>ХОН</v>
          </cell>
        </row>
        <row r="289">
          <cell r="A289" t="str">
            <v>Карастойчев</v>
          </cell>
          <cell r="B289" t="str">
            <v>ас.  Веселин Карастойчев</v>
          </cell>
          <cell r="C289" t="str">
            <v>ас.</v>
          </cell>
          <cell r="E289" t="str">
            <v>Веселин</v>
          </cell>
          <cell r="G289" t="str">
            <v>Карастойчев</v>
          </cell>
          <cell r="L289" t="str">
            <v>ХОН</v>
          </cell>
        </row>
        <row r="290">
          <cell r="A290" t="str">
            <v>Иванчев</v>
          </cell>
          <cell r="B290" t="str">
            <v>ас.  Стефан  Иванчев</v>
          </cell>
          <cell r="C290" t="str">
            <v>ас.</v>
          </cell>
          <cell r="E290" t="str">
            <v xml:space="preserve">Стефан </v>
          </cell>
          <cell r="G290" t="str">
            <v>Иванчев</v>
          </cell>
          <cell r="L290" t="str">
            <v>ХОН</v>
          </cell>
        </row>
        <row r="291">
          <cell r="A291" t="str">
            <v>Карапеткова</v>
          </cell>
          <cell r="B291" t="str">
            <v>гл. ас. д-р Дария Карапеткова</v>
          </cell>
          <cell r="C291" t="str">
            <v>гл. ас.</v>
          </cell>
          <cell r="D291" t="str">
            <v>д-р</v>
          </cell>
          <cell r="E291" t="str">
            <v>Дария</v>
          </cell>
          <cell r="G291" t="str">
            <v>Карапеткова</v>
          </cell>
          <cell r="L291" t="str">
            <v>ХОН</v>
          </cell>
        </row>
        <row r="292">
          <cell r="A292" t="str">
            <v>Янева</v>
          </cell>
          <cell r="B292" t="str">
            <v>гл. ас. д-р Даниела Янева</v>
          </cell>
          <cell r="C292" t="str">
            <v>гл. ас.</v>
          </cell>
          <cell r="D292" t="str">
            <v>д-р</v>
          </cell>
          <cell r="E292" t="str">
            <v>Даниела</v>
          </cell>
          <cell r="G292" t="str">
            <v>Янева</v>
          </cell>
          <cell r="L292" t="str">
            <v>ХОН</v>
          </cell>
        </row>
        <row r="293">
          <cell r="A293" t="str">
            <v>Тодоров</v>
          </cell>
          <cell r="B293" t="str">
            <v>доц. д-р Иван Тодоров</v>
          </cell>
          <cell r="C293" t="str">
            <v>доц.</v>
          </cell>
          <cell r="D293" t="str">
            <v>д-р</v>
          </cell>
          <cell r="E293" t="str">
            <v>Иван</v>
          </cell>
          <cell r="G293" t="str">
            <v>Тодоров</v>
          </cell>
          <cell r="L293" t="str">
            <v>ХОН</v>
          </cell>
        </row>
        <row r="294">
          <cell r="A294">
            <v>0</v>
          </cell>
          <cell r="B294" t="str">
            <v xml:space="preserve">   </v>
          </cell>
          <cell r="L294" t="str">
            <v>ХОН</v>
          </cell>
        </row>
        <row r="295">
          <cell r="A295">
            <v>0</v>
          </cell>
          <cell r="B295" t="str">
            <v xml:space="preserve">   </v>
          </cell>
          <cell r="L295" t="str">
            <v>ХОН</v>
          </cell>
        </row>
        <row r="296">
          <cell r="A296">
            <v>0</v>
          </cell>
          <cell r="B296" t="str">
            <v xml:space="preserve">   </v>
          </cell>
          <cell r="L296" t="str">
            <v>ХОН</v>
          </cell>
        </row>
        <row r="297">
          <cell r="A297">
            <v>0</v>
          </cell>
          <cell r="B297" t="str">
            <v xml:space="preserve">   </v>
          </cell>
          <cell r="L297" t="str">
            <v>ХОН</v>
          </cell>
        </row>
        <row r="298">
          <cell r="A298">
            <v>0</v>
          </cell>
          <cell r="B298" t="str">
            <v xml:space="preserve">   </v>
          </cell>
          <cell r="L298" t="str">
            <v>ХОН</v>
          </cell>
        </row>
        <row r="299">
          <cell r="A299">
            <v>0</v>
          </cell>
          <cell r="B299" t="str">
            <v xml:space="preserve">   </v>
          </cell>
          <cell r="L299" t="str">
            <v>ХОН</v>
          </cell>
        </row>
        <row r="300">
          <cell r="A300">
            <v>0</v>
          </cell>
          <cell r="B300" t="str">
            <v xml:space="preserve">   </v>
          </cell>
          <cell r="L300" t="str">
            <v>ХОН</v>
          </cell>
        </row>
        <row r="301">
          <cell r="A301">
            <v>0</v>
          </cell>
          <cell r="B301" t="str">
            <v xml:space="preserve">  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Dean" refreshedDate="41301.985543287039" createdVersion="4" refreshedVersion="4" minRefreshableVersion="3" recordCount="122">
  <cacheSource type="worksheet">
    <worksheetSource ref="A1:U254" sheet="Български и руски език (ЗО нов)"/>
  </cacheSource>
  <cacheFields count="20">
    <cacheField name="УЧЕБНА ДИСЦИПЛИНА" numFmtId="0">
      <sharedItems containsBlank="1" count="66">
        <s v="І курс, І семестър"/>
        <s v="Български фолклор"/>
        <s v="Историческа лингвистика (Старобългарски език)"/>
        <s v="Руски език (Практически курс)"/>
        <s v="Избираема дисциплина 1 (Странознание на Русия или Културни реалии на Русия)"/>
        <s v="Факултативна дисциплина 1"/>
        <s v="АВИТО"/>
        <s v="Увод в литературната теория"/>
        <s v="Увод в общото езикознание"/>
        <m/>
        <s v="І курс, ІІ семестър"/>
        <s v="Избираема дисциплина 2 (Руски език)"/>
        <s v="Факултативна дисциплина 2"/>
        <s v="Българска литература (Старобългарска литература)"/>
        <s v="Класически език (Старогръцки език)"/>
        <s v="Съвременен български език (Фонетика)"/>
        <s v="Съвременен руски език (Фонетика)"/>
        <s v="ІІ курс, ІІІ семестър"/>
        <s v="Българска литература (Възрожденска литература)"/>
        <s v="Педагогика"/>
        <s v="Психология"/>
        <s v="Руска литература (Руски фолклор)"/>
        <s v="Съвременен български език (Лексикология)"/>
        <s v="Съвременен руски език (Лексикология)"/>
        <s v="Избираема дисциплина 3 (Езикова култура или Практикум по правопис и пунктуация)"/>
        <s v="Избираема дисциплина 4 (Литературоведска)"/>
        <s v="ІІ курс, ІV семестър"/>
        <s v="Антична и западноевропейска литература"/>
        <s v="История на новобългарския книжовен език"/>
        <s v="Руска литература (Стара руска литература)"/>
        <s v="Съвременен български език (Морфология)"/>
        <s v="Съвременен руски език (Морфология)"/>
        <s v="Увод в теорията на превода"/>
        <s v="УЧЕБНА ДИСЦИПЛИНА"/>
        <s v="ІІІ курс, V семестър"/>
        <s v="Българска литература (Следосвобожденска литература)"/>
        <s v="Историческа лингвистика (История на българския език)"/>
        <s v="Руска литература (ХІХ век)"/>
        <s v="Сравнителна граматика на славянските езици"/>
        <s v="Факултативна дисциплина 3"/>
        <s v="ІІІ курс, VІ семестър"/>
        <s v="Методика на обучението по руски език"/>
        <s v="Руски език (Практически курс) "/>
        <s v="Съвременен български език (Синтаксис)"/>
        <s v="Съвременен руски език (Синтаксис)"/>
        <s v="Хоспетиране (Български език и литература)"/>
        <s v="Хоспетиране (Руски език)"/>
        <s v="ІV курс, VІІ семестър"/>
        <s v="Българска литература (След Първата световна война)"/>
        <s v="Методика на обучението по литература"/>
        <s v="Методика на обучението по български език"/>
        <s v="Руска литература (ХХ век)"/>
        <s v="Факултативна дисциплина 4"/>
        <s v="Текуща педагогическа практика (Български език и литература)"/>
        <s v="Текуща педагогическа практика (Руски език)"/>
        <s v="ІV курс, VІІІ семестър"/>
        <s v="Преддипломна педагогическа практика (Български език и литература)"/>
        <s v="Преддипломна педагогическа практика (Руски език)"/>
        <s v="Съвременен български език (Стилистика)"/>
        <s v="Съвременен руски език (Стилистика)"/>
        <s v="Държавни изпити"/>
        <s v="Интегриран практико-приложен изпит (Български език и литература)"/>
        <s v="Интегриран практико-приложен изпит (Руски език)"/>
        <s v="Писмен изпит по български език и литература"/>
        <s v="Писмен изпит по руски език"/>
        <s v="За целия период на следването (брой часове)"/>
      </sharedItems>
    </cacheField>
    <cacheField name="A нови " numFmtId="0">
      <sharedItems containsBlank="1" containsMixedTypes="1" containsNumber="1" containsInteger="1" minValue="15" maxValue="2565"/>
    </cacheField>
    <cacheField name="А" numFmtId="0">
      <sharedItems containsBlank="1" containsMixedTypes="1" containsNumber="1" minValue="10" maxValue="1537.5"/>
    </cacheField>
    <cacheField name="Л" numFmtId="0">
      <sharedItems containsBlank="1" containsMixedTypes="1" containsNumber="1" minValue="0" maxValue="752.5"/>
    </cacheField>
    <cacheField name="С" numFmtId="0">
      <sharedItems containsBlank="1" containsMixedTypes="1" containsNumber="1" containsInteger="1" minValue="0" maxValue="240"/>
    </cacheField>
    <cacheField name="У" numFmtId="0">
      <sharedItems containsBlank="1" containsMixedTypes="1" containsNumber="1" minValue="-7.5" maxValue="545"/>
    </cacheField>
    <cacheField name="Е" numFmtId="0">
      <sharedItems containsBlank="1" containsMixedTypes="1" containsNumber="1" minValue="37.5" maxValue="5482.5"/>
    </cacheField>
    <cacheField name="О" numFmtId="0">
      <sharedItems containsBlank="1" containsMixedTypes="1" containsNumber="1" minValue="58.5" maxValue="7020"/>
    </cacheField>
    <cacheField name="КР" numFmtId="0">
      <sharedItems containsBlank="1" containsMixedTypes="1" containsNumber="1" containsInteger="1" minValue="2" maxValue="253"/>
    </cacheField>
    <cacheField name="Ф" numFmtId="0">
      <sharedItems containsBlank="1" containsMixedTypes="1" containsNumber="1" containsInteger="1" minValue="1" maxValue="1"/>
    </cacheField>
    <cacheField name="AO" numFmtId="0">
      <sharedItems containsString="0" containsBlank="1" containsNumber="1" minValue="0" maxValue="1537.5"/>
    </cacheField>
    <cacheField name="Л2" numFmtId="0">
      <sharedItems containsString="0" containsBlank="1" containsNumber="1" minValue="0" maxValue="752.5" count="12">
        <n v="1"/>
        <n v="15"/>
        <n v="30"/>
        <n v="0"/>
        <n v="25"/>
        <n v="20"/>
        <n v="22.5"/>
        <n v="40"/>
        <n v="10"/>
        <n v="50"/>
        <n v="752.5"/>
        <m/>
      </sharedItems>
    </cacheField>
    <cacheField name="СУ" numFmtId="0">
      <sharedItems containsString="0" containsBlank="1" containsNumber="1" minValue="0" maxValue="785"/>
    </cacheField>
    <cacheField name="Преподавател" numFmtId="0">
      <sharedItems containsBlank="1" count="34">
        <m/>
        <s v="гл. ас. д-р Аделина Странджева"/>
        <s v="   "/>
        <e v="#N/A"/>
        <s v="гл. ас. д-р Надя Чернева"/>
        <s v="проф. д-р Запрян Козлуджов"/>
        <s v="доц. д-р Иван Чобанов"/>
        <s v="гл. ас. д-р Майя Кузова"/>
        <s v="проф. д-р Пеньо Пенев"/>
        <s v="доц. д-р Христина Тончева"/>
        <s v="доц. д-р Станка Козарова"/>
        <s v="доц. д-р Ваня Зидарова"/>
        <s v="проф. д-р Стефка Георгиева"/>
        <s v="проф. д.п.н. Пламен Радев"/>
        <s v="проф. д.п.н. Румен Стаматов"/>
        <s v="доц. д-р  Елена Томова"/>
        <s v="гл. ас. д-р Иванка Гайдаджиева"/>
        <s v="доц. д-р Татяна Ичевска"/>
        <s v="доц. д-р Елена Гетова"/>
        <s v="проф. дфн Диана Иванова"/>
        <s v="гл. ас. д-р Юлиана Чакърова-Бурлакова"/>
        <s v="име, фамилия"/>
        <s v="проф. дфн Клео Протохристова"/>
        <s v="доц. дфн Вера Маровска"/>
        <s v="доц. д-р Иван Русков"/>
        <s v="гл. ас. д-р Людмила Минкова"/>
        <s v="доц. д-р Николай Нейчев"/>
        <s v="проф. дфн Иван Куцаров"/>
        <s v="доц. д-р Соня Спилкова"/>
        <s v="доц. д-р Пенка Гарушева-Карамалакова"/>
        <s v="доц. д-р Петя Бъркалова"/>
        <s v="проф. дфн Любка Липчева-Пранджева"/>
        <s v="гл. ас. д-р Кръстина Арбова"/>
        <s v=" "/>
      </sharedItems>
    </cacheField>
    <cacheField name="Код" numFmtId="0">
      <sharedItems containsBlank="1" containsMixedTypes="1" containsNumber="1" containsInteger="1" minValue="0" maxValue="2013"/>
    </cacheField>
    <cacheField name="Възраст" numFmtId="0">
      <sharedItems containsBlank="1" containsMixedTypes="1" containsNumber="1" minValue="0" maxValue="1970"/>
    </cacheField>
    <cacheField name="Договор" numFmtId="0">
      <sharedItems containsBlank="1" containsMixedTypes="1" containsNumber="1" containsInteger="1" minValue="0" maxValue="0"/>
    </cacheField>
    <cacheField name="Тип" numFmtId="0">
      <sharedItems containsBlank="1"/>
    </cacheField>
    <cacheField name="Учебници по СПЕ" numFmtId="0">
      <sharedItems containsBlank="1" count="2">
        <m/>
        <s v="У"/>
      </sharedItems>
    </cacheField>
    <cacheField name="НОВИ КУРСОВЕ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x v="0"/>
    <m/>
    <m/>
    <m/>
    <m/>
    <m/>
    <m/>
    <m/>
    <m/>
    <n v="1"/>
    <m/>
    <x v="0"/>
    <m/>
    <x v="0"/>
    <n v="2013"/>
    <n v="56.911764705882433"/>
    <m/>
    <m/>
    <x v="0"/>
    <x v="0"/>
  </r>
  <r>
    <x v="1"/>
    <n v="30"/>
    <n v="15"/>
    <n v="15"/>
    <n v="0"/>
    <n v="0"/>
    <n v="105"/>
    <n v="120"/>
    <n v="4"/>
    <s v="изпит"/>
    <n v="15"/>
    <x v="1"/>
    <n v="0"/>
    <x v="1"/>
    <s v="странджева"/>
    <n v="1960"/>
    <s v="ОТД"/>
    <s v="СПЕ"/>
    <x v="0"/>
    <x v="0"/>
  </r>
  <r>
    <x v="2"/>
    <n v="45"/>
    <n v="25"/>
    <n v="15"/>
    <n v="10"/>
    <n v="0"/>
    <n v="95"/>
    <n v="120"/>
    <n v="4"/>
    <s v="продължава"/>
    <n v="50"/>
    <x v="2"/>
    <n v="20"/>
    <x v="2"/>
    <n v="0"/>
    <n v="0"/>
    <n v="0"/>
    <s v="ОФД"/>
    <x v="0"/>
    <x v="0"/>
  </r>
  <r>
    <x v="3"/>
    <n v="90"/>
    <n v="45"/>
    <n v="0"/>
    <n v="0"/>
    <n v="45"/>
    <n v="165"/>
    <n v="210"/>
    <n v="7"/>
    <s v="продължава"/>
    <n v="330"/>
    <x v="3"/>
    <n v="330"/>
    <x v="3"/>
    <e v="#N/A"/>
    <e v="#N/A"/>
    <e v="#N/A"/>
    <s v="ПРА"/>
    <x v="0"/>
    <x v="0"/>
  </r>
  <r>
    <x v="4"/>
    <n v="15"/>
    <n v="15"/>
    <n v="15"/>
    <n v="0"/>
    <n v="0"/>
    <n v="75"/>
    <n v="90"/>
    <n v="3"/>
    <s v="изпит"/>
    <n v="15"/>
    <x v="1"/>
    <n v="0"/>
    <x v="4"/>
    <s v="чернева"/>
    <n v="1961"/>
    <s v="ОТД"/>
    <s v="СПЕ"/>
    <x v="0"/>
    <x v="0"/>
  </r>
  <r>
    <x v="5"/>
    <n v="15"/>
    <n v="15"/>
    <n v="0"/>
    <n v="0"/>
    <n v="15"/>
    <n v="45"/>
    <n v="60"/>
    <n v="2"/>
    <s v="т.о."/>
    <n v="15"/>
    <x v="3"/>
    <n v="15"/>
    <x v="2"/>
    <n v="0"/>
    <n v="0"/>
    <n v="0"/>
    <s v="ФД"/>
    <x v="0"/>
    <x v="0"/>
  </r>
  <r>
    <x v="6"/>
    <n v="15"/>
    <n v="10"/>
    <n v="0"/>
    <n v="0"/>
    <n v="10"/>
    <n v="50"/>
    <n v="60"/>
    <n v="2"/>
    <s v="т.о."/>
    <n v="10"/>
    <x v="3"/>
    <n v="10"/>
    <x v="2"/>
    <n v="0"/>
    <n v="0"/>
    <n v="0"/>
    <s v="ПЕД"/>
    <x v="0"/>
    <x v="0"/>
  </r>
  <r>
    <x v="7"/>
    <n v="45"/>
    <n v="30"/>
    <n v="25"/>
    <n v="5"/>
    <n v="0"/>
    <n v="90"/>
    <n v="120"/>
    <n v="4"/>
    <s v="изпит"/>
    <n v="30"/>
    <x v="4"/>
    <n v="5"/>
    <x v="5"/>
    <s v="козлуджов"/>
    <n v="1959"/>
    <s v="ОТД"/>
    <s v="ИЗБ"/>
    <x v="0"/>
    <x v="0"/>
  </r>
  <r>
    <x v="8"/>
    <n v="45"/>
    <n v="30"/>
    <n v="20"/>
    <n v="10"/>
    <n v="0"/>
    <n v="90"/>
    <n v="120"/>
    <n v="4"/>
    <s v="изпит"/>
    <n v="30"/>
    <x v="5"/>
    <n v="10"/>
    <x v="6"/>
    <s v="чобанов"/>
    <n v="1949"/>
    <s v="ОТД"/>
    <s v="ОФД"/>
    <x v="0"/>
    <x v="0"/>
  </r>
  <r>
    <x v="9"/>
    <n v="300"/>
    <n v="185"/>
    <n v="90"/>
    <n v="25"/>
    <n v="70"/>
    <n v="715"/>
    <n v="900"/>
    <n v="30"/>
    <m/>
    <n v="0"/>
    <x v="3"/>
    <n v="0"/>
    <x v="3"/>
    <s v=" "/>
    <e v="#N/A"/>
    <e v="#N/A"/>
    <s v=" "/>
    <x v="0"/>
    <x v="0"/>
  </r>
  <r>
    <x v="10"/>
    <m/>
    <m/>
    <m/>
    <m/>
    <m/>
    <m/>
    <m/>
    <m/>
    <m/>
    <n v="0"/>
    <x v="3"/>
    <n v="0"/>
    <x v="2"/>
    <n v="0"/>
    <n v="0"/>
    <n v="0"/>
    <e v="#N/A"/>
    <x v="0"/>
    <x v="0"/>
  </r>
  <r>
    <x v="11"/>
    <n v="15"/>
    <n v="15"/>
    <n v="15"/>
    <n v="0"/>
    <n v="0"/>
    <n v="75"/>
    <n v="90"/>
    <n v="3"/>
    <s v="изпит"/>
    <n v="15"/>
    <x v="1"/>
    <n v="0"/>
    <x v="7"/>
    <s v="кузова"/>
    <n v="1961"/>
    <s v="ОТД"/>
    <s v="ИЗБ"/>
    <x v="0"/>
    <x v="0"/>
  </r>
  <r>
    <x v="12"/>
    <n v="15"/>
    <n v="15"/>
    <n v="0"/>
    <n v="0"/>
    <n v="15"/>
    <n v="45"/>
    <n v="60"/>
    <n v="2"/>
    <s v="т.о."/>
    <n v="15"/>
    <x v="3"/>
    <n v="15"/>
    <x v="2"/>
    <n v="0"/>
    <n v="0"/>
    <n v="0"/>
    <s v="ФД"/>
    <x v="0"/>
    <x v="0"/>
  </r>
  <r>
    <x v="13"/>
    <n v="45"/>
    <n v="30"/>
    <n v="22.5"/>
    <n v="15"/>
    <n v="-7.5"/>
    <n v="120"/>
    <n v="150"/>
    <n v="5"/>
    <s v="изпит"/>
    <n v="30"/>
    <x v="6"/>
    <n v="7.5"/>
    <x v="8"/>
    <s v="пенев"/>
    <n v="1946"/>
    <s v="ОТД"/>
    <s v="СПЕ"/>
    <x v="1"/>
    <x v="0"/>
  </r>
  <r>
    <x v="2"/>
    <n v="30"/>
    <n v="25"/>
    <n v="15"/>
    <n v="10"/>
    <n v="0"/>
    <n v="95"/>
    <n v="120"/>
    <n v="4"/>
    <s v="изпит"/>
    <n v="50"/>
    <x v="2"/>
    <n v="20"/>
    <x v="9"/>
    <s v="тончева"/>
    <n v="1968"/>
    <s v="ОТД"/>
    <s v="ОФД"/>
    <x v="0"/>
    <x v="0"/>
  </r>
  <r>
    <x v="14"/>
    <n v="30"/>
    <n v="15"/>
    <n v="15"/>
    <n v="0"/>
    <n v="0"/>
    <n v="75"/>
    <n v="90"/>
    <n v="3"/>
    <s v="изпит"/>
    <n v="15"/>
    <x v="1"/>
    <n v="0"/>
    <x v="10"/>
    <s v="козарова"/>
    <n v="1959"/>
    <s v="ОТД"/>
    <s v="ОФД"/>
    <x v="0"/>
    <x v="0"/>
  </r>
  <r>
    <x v="3"/>
    <n v="90"/>
    <n v="55"/>
    <n v="0"/>
    <n v="0"/>
    <n v="55"/>
    <n v="155"/>
    <n v="210"/>
    <n v="7"/>
    <s v="изпит"/>
    <n v="330"/>
    <x v="3"/>
    <n v="330"/>
    <x v="3"/>
    <e v="#N/A"/>
    <e v="#N/A"/>
    <e v="#N/A"/>
    <s v="ПРА"/>
    <x v="0"/>
    <x v="0"/>
  </r>
  <r>
    <x v="15"/>
    <n v="30"/>
    <n v="25"/>
    <n v="20"/>
    <n v="5"/>
    <n v="0"/>
    <n v="65"/>
    <n v="90"/>
    <n v="3"/>
    <s v="изпит"/>
    <n v="25"/>
    <x v="5"/>
    <n v="5"/>
    <x v="11"/>
    <s v="зидарова"/>
    <n v="1959"/>
    <s v="ОТД"/>
    <s v="ОФД"/>
    <x v="0"/>
    <x v="0"/>
  </r>
  <r>
    <x v="16"/>
    <n v="30"/>
    <n v="25"/>
    <n v="15"/>
    <n v="10"/>
    <n v="0"/>
    <n v="65"/>
    <n v="90"/>
    <n v="3"/>
    <s v="изпит"/>
    <n v="25"/>
    <x v="1"/>
    <n v="10"/>
    <x v="12"/>
    <s v="георгиева"/>
    <n v="1945"/>
    <s v="ОТД"/>
    <s v="СПЕ"/>
    <x v="1"/>
    <x v="0"/>
  </r>
  <r>
    <x v="9"/>
    <n v="285"/>
    <n v="205"/>
    <n v="102.5"/>
    <n v="40"/>
    <n v="62.5"/>
    <n v="695"/>
    <n v="900"/>
    <n v="30"/>
    <m/>
    <n v="0"/>
    <x v="3"/>
    <n v="0"/>
    <x v="3"/>
    <s v=" "/>
    <e v="#N/A"/>
    <e v="#N/A"/>
    <s v=" "/>
    <x v="0"/>
    <x v="0"/>
  </r>
  <r>
    <x v="17"/>
    <m/>
    <m/>
    <m/>
    <m/>
    <m/>
    <m/>
    <m/>
    <m/>
    <m/>
    <n v="0"/>
    <x v="3"/>
    <n v="0"/>
    <x v="2"/>
    <n v="0"/>
    <n v="0"/>
    <n v="0"/>
    <e v="#N/A"/>
    <x v="0"/>
    <x v="0"/>
  </r>
  <r>
    <x v="18"/>
    <n v="30"/>
    <n v="15"/>
    <n v="15"/>
    <n v="0"/>
    <n v="0"/>
    <n v="75"/>
    <n v="90"/>
    <n v="3"/>
    <s v="продължава"/>
    <n v="40"/>
    <x v="7"/>
    <n v="0"/>
    <x v="2"/>
    <n v="0"/>
    <n v="0"/>
    <n v="0"/>
    <s v="СПЕ"/>
    <x v="0"/>
    <x v="0"/>
  </r>
  <r>
    <x v="19"/>
    <n v="60"/>
    <n v="30"/>
    <n v="25"/>
    <n v="5"/>
    <n v="0"/>
    <n v="90"/>
    <n v="120"/>
    <n v="4"/>
    <s v="изпит"/>
    <n v="30"/>
    <x v="4"/>
    <n v="5"/>
    <x v="13"/>
    <s v="радев"/>
    <n v="1950"/>
    <s v="ОТД"/>
    <s v="ПЕД"/>
    <x v="0"/>
    <x v="0"/>
  </r>
  <r>
    <x v="3"/>
    <n v="90"/>
    <n v="55"/>
    <n v="0"/>
    <n v="0"/>
    <n v="55"/>
    <n v="185"/>
    <n v="240"/>
    <n v="8"/>
    <s v="продължава"/>
    <n v="330"/>
    <x v="3"/>
    <n v="330"/>
    <x v="3"/>
    <e v="#N/A"/>
    <e v="#N/A"/>
    <e v="#N/A"/>
    <s v="ПРА"/>
    <x v="0"/>
    <x v="0"/>
  </r>
  <r>
    <x v="20"/>
    <n v="45"/>
    <n v="25"/>
    <n v="25"/>
    <n v="0"/>
    <n v="0"/>
    <n v="65"/>
    <n v="90"/>
    <n v="4"/>
    <s v="изпит"/>
    <n v="25"/>
    <x v="4"/>
    <n v="0"/>
    <x v="14"/>
    <s v="стаматов"/>
    <n v="1953"/>
    <s v="ОТД"/>
    <s v="ПЕД"/>
    <x v="0"/>
    <x v="0"/>
  </r>
  <r>
    <x v="21"/>
    <n v="30"/>
    <n v="15"/>
    <n v="10"/>
    <n v="5"/>
    <n v="0"/>
    <n v="45"/>
    <n v="60"/>
    <n v="2"/>
    <s v="изпит"/>
    <n v="15"/>
    <x v="8"/>
    <n v="5"/>
    <x v="15"/>
    <s v="етомова"/>
    <n v="0"/>
    <s v="ХОН"/>
    <s v="СПЕ"/>
    <x v="0"/>
    <x v="0"/>
  </r>
  <r>
    <x v="22"/>
    <n v="30"/>
    <n v="25"/>
    <n v="20"/>
    <n v="5"/>
    <n v="0"/>
    <n v="65"/>
    <n v="90"/>
    <n v="3"/>
    <s v="изпит"/>
    <n v="25"/>
    <x v="5"/>
    <n v="5"/>
    <x v="16"/>
    <s v="гайдаджиева"/>
    <n v="1958"/>
    <s v="ОТД"/>
    <s v="СПЕ"/>
    <x v="0"/>
    <x v="0"/>
  </r>
  <r>
    <x v="23"/>
    <n v="30"/>
    <n v="25"/>
    <n v="15"/>
    <n v="10"/>
    <n v="0"/>
    <n v="65"/>
    <n v="90"/>
    <n v="3"/>
    <s v="изпит"/>
    <n v="25"/>
    <x v="1"/>
    <n v="10"/>
    <x v="12"/>
    <s v="георгиева"/>
    <n v="1945"/>
    <s v="ОТД"/>
    <s v="СПЕ"/>
    <x v="0"/>
    <x v="0"/>
  </r>
  <r>
    <x v="24"/>
    <n v="15"/>
    <n v="10"/>
    <n v="0"/>
    <n v="10"/>
    <n v="0"/>
    <n v="50"/>
    <n v="60"/>
    <n v="3"/>
    <s v="т.о."/>
    <n v="10"/>
    <x v="3"/>
    <n v="10"/>
    <x v="3"/>
    <e v="#N/A"/>
    <e v="#N/A"/>
    <e v="#N/A"/>
    <e v="#N/A"/>
    <x v="0"/>
    <x v="0"/>
  </r>
  <r>
    <x v="25"/>
    <n v="15"/>
    <n v="15"/>
    <n v="15"/>
    <n v="0"/>
    <n v="0"/>
    <n v="45"/>
    <n v="60"/>
    <n v="3"/>
    <s v="изпит"/>
    <n v="15"/>
    <x v="1"/>
    <n v="0"/>
    <x v="17"/>
    <s v="ичевска"/>
    <n v="1970"/>
    <s v="ОТД"/>
    <s v="ИЗБ"/>
    <x v="0"/>
    <x v="0"/>
  </r>
  <r>
    <x v="9"/>
    <n v="330"/>
    <n v="215"/>
    <n v="125"/>
    <n v="35"/>
    <n v="55"/>
    <n v="685"/>
    <n v="900"/>
    <n v="33"/>
    <m/>
    <n v="0"/>
    <x v="3"/>
    <n v="0"/>
    <x v="3"/>
    <s v=" "/>
    <e v="#N/A"/>
    <e v="#N/A"/>
    <s v=" "/>
    <x v="0"/>
    <x v="0"/>
  </r>
  <r>
    <x v="26"/>
    <m/>
    <m/>
    <m/>
    <m/>
    <m/>
    <m/>
    <m/>
    <m/>
    <m/>
    <n v="0"/>
    <x v="3"/>
    <n v="0"/>
    <x v="2"/>
    <n v="0"/>
    <n v="0"/>
    <n v="0"/>
    <e v="#N/A"/>
    <x v="0"/>
    <x v="0"/>
  </r>
  <r>
    <x v="27"/>
    <n v="45"/>
    <n v="25"/>
    <n v="15"/>
    <n v="10"/>
    <n v="0"/>
    <n v="95"/>
    <n v="120"/>
    <n v="4"/>
    <s v="продължава"/>
    <n v="50"/>
    <x v="2"/>
    <n v="20"/>
    <x v="2"/>
    <n v="0"/>
    <n v="0"/>
    <n v="0"/>
    <s v="СПЕ"/>
    <x v="0"/>
    <x v="0"/>
  </r>
  <r>
    <x v="18"/>
    <n v="30"/>
    <n v="25"/>
    <n v="25"/>
    <n v="0"/>
    <n v="0"/>
    <n v="65"/>
    <n v="90"/>
    <n v="3"/>
    <s v="изпит"/>
    <n v="40"/>
    <x v="7"/>
    <n v="0"/>
    <x v="18"/>
    <s v="гетова"/>
    <n v="1969"/>
    <s v="ОТД"/>
    <s v="СПЕ"/>
    <x v="0"/>
    <x v="0"/>
  </r>
  <r>
    <x v="28"/>
    <n v="30"/>
    <n v="22.5"/>
    <n v="15"/>
    <n v="0"/>
    <n v="7.5"/>
    <n v="37.5"/>
    <n v="60"/>
    <n v="2"/>
    <s v="изпит"/>
    <n v="22.5"/>
    <x v="1"/>
    <n v="7.5"/>
    <x v="19"/>
    <s v="диванова"/>
    <n v="1950"/>
    <s v="ОТД"/>
    <s v="СПЕ"/>
    <x v="0"/>
    <x v="0"/>
  </r>
  <r>
    <x v="3"/>
    <n v="90"/>
    <n v="40"/>
    <n v="0"/>
    <n v="0"/>
    <n v="40"/>
    <n v="200"/>
    <n v="240"/>
    <n v="8"/>
    <s v="изпит"/>
    <n v="330"/>
    <x v="3"/>
    <n v="330"/>
    <x v="3"/>
    <e v="#N/A"/>
    <e v="#N/A"/>
    <e v="#N/A"/>
    <s v="ПРА"/>
    <x v="1"/>
    <x v="0"/>
  </r>
  <r>
    <x v="29"/>
    <n v="30"/>
    <n v="15"/>
    <n v="10"/>
    <n v="5"/>
    <n v="0"/>
    <n v="105"/>
    <n v="120"/>
    <n v="4"/>
    <s v="изпит"/>
    <n v="15"/>
    <x v="8"/>
    <n v="5"/>
    <x v="15"/>
    <s v="етомова"/>
    <n v="0"/>
    <s v="ХОН"/>
    <s v="СПЕ"/>
    <x v="1"/>
    <x v="0"/>
  </r>
  <r>
    <x v="30"/>
    <n v="30"/>
    <n v="25"/>
    <n v="15"/>
    <n v="10"/>
    <n v="0"/>
    <n v="65"/>
    <n v="90"/>
    <n v="3"/>
    <s v="продължава"/>
    <n v="50"/>
    <x v="2"/>
    <n v="20"/>
    <x v="2"/>
    <n v="0"/>
    <n v="0"/>
    <n v="0"/>
    <s v="СПЕ"/>
    <x v="0"/>
    <x v="0"/>
  </r>
  <r>
    <x v="31"/>
    <n v="30"/>
    <n v="15"/>
    <n v="10"/>
    <n v="5"/>
    <n v="0"/>
    <n v="75"/>
    <n v="90"/>
    <n v="3"/>
    <s v="продължава"/>
    <n v="30"/>
    <x v="5"/>
    <n v="10"/>
    <x v="3"/>
    <e v="#N/A"/>
    <e v="#N/A"/>
    <e v="#N/A"/>
    <s v="СПЕ"/>
    <x v="0"/>
    <x v="0"/>
  </r>
  <r>
    <x v="32"/>
    <n v="30"/>
    <n v="10"/>
    <n v="10"/>
    <n v="0"/>
    <n v="0"/>
    <n v="80"/>
    <n v="90"/>
    <n v="3"/>
    <s v="изпит"/>
    <n v="10"/>
    <x v="8"/>
    <n v="0"/>
    <x v="20"/>
    <s v="ючакърова"/>
    <n v="1964"/>
    <s v="ОТД"/>
    <s v="СПЕ"/>
    <x v="0"/>
    <x v="0"/>
  </r>
  <r>
    <x v="9"/>
    <n v="315"/>
    <n v="177.5"/>
    <n v="100"/>
    <n v="30"/>
    <n v="47.5"/>
    <n v="722.5"/>
    <n v="900"/>
    <n v="30"/>
    <m/>
    <n v="0"/>
    <x v="3"/>
    <n v="0"/>
    <x v="3"/>
    <s v=" "/>
    <e v="#N/A"/>
    <e v="#N/A"/>
    <s v=" "/>
    <x v="0"/>
    <x v="0"/>
  </r>
  <r>
    <x v="33"/>
    <s v="A нови "/>
    <s v="А"/>
    <s v="Л"/>
    <s v="С"/>
    <s v="У"/>
    <s v="Е"/>
    <s v="О"/>
    <s v="КР"/>
    <s v="Ф"/>
    <n v="0"/>
    <x v="3"/>
    <n v="0"/>
    <x v="21"/>
    <s v="Код"/>
    <s v="годинанараждане"/>
    <s v="ТРУД"/>
    <s v="Тип"/>
    <x v="0"/>
    <x v="0"/>
  </r>
  <r>
    <x v="34"/>
    <m/>
    <m/>
    <m/>
    <m/>
    <m/>
    <m/>
    <m/>
    <m/>
    <m/>
    <n v="0"/>
    <x v="3"/>
    <n v="0"/>
    <x v="2"/>
    <n v="0"/>
    <n v="0"/>
    <n v="0"/>
    <e v="#N/A"/>
    <x v="0"/>
    <x v="0"/>
  </r>
  <r>
    <x v="27"/>
    <n v="30"/>
    <n v="25"/>
    <n v="15"/>
    <n v="10"/>
    <n v="0"/>
    <n v="65"/>
    <n v="90"/>
    <n v="3"/>
    <s v="изпит"/>
    <n v="50"/>
    <x v="2"/>
    <n v="20"/>
    <x v="22"/>
    <s v="протохристова"/>
    <n v="1950"/>
    <s v="ОТД"/>
    <s v="СПЕ"/>
    <x v="0"/>
    <x v="0"/>
  </r>
  <r>
    <x v="35"/>
    <n v="30"/>
    <n v="15"/>
    <n v="15"/>
    <n v="0"/>
    <n v="0"/>
    <n v="75"/>
    <n v="90"/>
    <n v="3"/>
    <s v="продължава"/>
    <n v="45"/>
    <x v="2"/>
    <n v="15"/>
    <x v="2"/>
    <n v="0"/>
    <n v="0"/>
    <n v="0"/>
    <s v="СПЕ"/>
    <x v="1"/>
    <x v="0"/>
  </r>
  <r>
    <x v="36"/>
    <n v="45"/>
    <n v="15"/>
    <n v="15"/>
    <n v="0"/>
    <n v="0"/>
    <n v="75"/>
    <n v="90"/>
    <n v="3"/>
    <s v="продължава"/>
    <n v="40"/>
    <x v="2"/>
    <n v="10"/>
    <x v="2"/>
    <n v="0"/>
    <n v="0"/>
    <n v="0"/>
    <s v="ОФД"/>
    <x v="0"/>
    <x v="0"/>
  </r>
  <r>
    <x v="3"/>
    <n v="90"/>
    <n v="55"/>
    <n v="0"/>
    <n v="0"/>
    <n v="55"/>
    <n v="155"/>
    <n v="210"/>
    <n v="7"/>
    <s v="продължава"/>
    <n v="330"/>
    <x v="3"/>
    <n v="330"/>
    <x v="3"/>
    <e v="#N/A"/>
    <e v="#N/A"/>
    <e v="#N/A"/>
    <s v="ПРА"/>
    <x v="0"/>
    <x v="0"/>
  </r>
  <r>
    <x v="37"/>
    <n v="30"/>
    <n v="25"/>
    <n v="15"/>
    <n v="10"/>
    <n v="0"/>
    <n v="95"/>
    <n v="120"/>
    <n v="4"/>
    <s v="продължава"/>
    <n v="40"/>
    <x v="4"/>
    <n v="15"/>
    <x v="3"/>
    <e v="#N/A"/>
    <e v="#N/A"/>
    <e v="#N/A"/>
    <s v="ОФД"/>
    <x v="0"/>
    <x v="0"/>
  </r>
  <r>
    <x v="38"/>
    <n v="30"/>
    <n v="15"/>
    <n v="15"/>
    <n v="0"/>
    <n v="0"/>
    <n v="45"/>
    <n v="60"/>
    <n v="2"/>
    <s v="продължава"/>
    <n v="30"/>
    <x v="2"/>
    <n v="0"/>
    <x v="3"/>
    <e v="#N/A"/>
    <e v="#N/A"/>
    <e v="#N/A"/>
    <s v="ОФД"/>
    <x v="0"/>
    <x v="0"/>
  </r>
  <r>
    <x v="30"/>
    <n v="45"/>
    <n v="25"/>
    <n v="15"/>
    <n v="10"/>
    <n v="0"/>
    <n v="65"/>
    <n v="90"/>
    <n v="3"/>
    <s v="изпит"/>
    <n v="50"/>
    <x v="2"/>
    <n v="20"/>
    <x v="23"/>
    <s v="маровска"/>
    <n v="1954"/>
    <s v="ОТД"/>
    <s v="СПЕ"/>
    <x v="0"/>
    <x v="0"/>
  </r>
  <r>
    <x v="39"/>
    <n v="30"/>
    <n v="15"/>
    <n v="0"/>
    <n v="0"/>
    <n v="15"/>
    <n v="45"/>
    <n v="60"/>
    <n v="2"/>
    <s v="т.о."/>
    <n v="15"/>
    <x v="3"/>
    <n v="15"/>
    <x v="2"/>
    <n v="0"/>
    <n v="0"/>
    <n v="0"/>
    <s v="ФД"/>
    <x v="1"/>
    <x v="0"/>
  </r>
  <r>
    <x v="31"/>
    <n v="30"/>
    <n v="15"/>
    <n v="10"/>
    <n v="5"/>
    <n v="0"/>
    <n v="75"/>
    <n v="90"/>
    <n v="3"/>
    <s v="изпит"/>
    <n v="30"/>
    <x v="5"/>
    <n v="10"/>
    <x v="12"/>
    <s v="георгиева"/>
    <n v="1945"/>
    <s v="ОТД"/>
    <s v="СПЕ"/>
    <x v="0"/>
    <x v="0"/>
  </r>
  <r>
    <x v="9"/>
    <n v="360"/>
    <n v="205"/>
    <n v="100"/>
    <n v="35"/>
    <n v="70"/>
    <n v="695"/>
    <n v="900"/>
    <n v="30"/>
    <m/>
    <n v="0"/>
    <x v="3"/>
    <n v="0"/>
    <x v="3"/>
    <s v=" "/>
    <e v="#N/A"/>
    <e v="#N/A"/>
    <s v=" "/>
    <x v="1"/>
    <x v="0"/>
  </r>
  <r>
    <x v="40"/>
    <m/>
    <m/>
    <m/>
    <m/>
    <m/>
    <m/>
    <m/>
    <m/>
    <m/>
    <n v="0"/>
    <x v="3"/>
    <n v="0"/>
    <x v="2"/>
    <n v="0"/>
    <n v="0"/>
    <n v="0"/>
    <e v="#N/A"/>
    <x v="0"/>
    <x v="0"/>
  </r>
  <r>
    <x v="35"/>
    <n v="45"/>
    <n v="30"/>
    <n v="15"/>
    <n v="15"/>
    <n v="0"/>
    <n v="90"/>
    <n v="120"/>
    <n v="4"/>
    <s v="изпит"/>
    <n v="45"/>
    <x v="2"/>
    <n v="15"/>
    <x v="24"/>
    <s v="русков"/>
    <n v="1960"/>
    <s v="ОТД"/>
    <s v="СПЕ"/>
    <x v="0"/>
    <x v="0"/>
  </r>
  <r>
    <x v="36"/>
    <n v="45"/>
    <n v="25"/>
    <n v="15"/>
    <n v="10"/>
    <n v="0"/>
    <n v="95"/>
    <n v="120"/>
    <n v="4"/>
    <s v="изпит"/>
    <n v="40"/>
    <x v="2"/>
    <n v="10"/>
    <x v="9"/>
    <s v="тончева"/>
    <n v="1968"/>
    <s v="ОТД"/>
    <s v="ОФД"/>
    <x v="1"/>
    <x v="0"/>
  </r>
  <r>
    <x v="41"/>
    <n v="30"/>
    <n v="15"/>
    <n v="15"/>
    <n v="0"/>
    <n v="0"/>
    <n v="75"/>
    <n v="90"/>
    <n v="3"/>
    <s v="изпит"/>
    <n v="15"/>
    <x v="1"/>
    <n v="0"/>
    <x v="25"/>
    <s v="минкова"/>
    <n v="1961"/>
    <s v="ОТД"/>
    <s v="ПЕД"/>
    <x v="0"/>
    <x v="0"/>
  </r>
  <r>
    <x v="42"/>
    <n v="90"/>
    <n v="55"/>
    <n v="0"/>
    <n v="0"/>
    <n v="55"/>
    <n v="155"/>
    <n v="210"/>
    <n v="7"/>
    <s v="изпит"/>
    <n v="55"/>
    <x v="3"/>
    <n v="55"/>
    <x v="3"/>
    <e v="#N/A"/>
    <e v="#N/A"/>
    <e v="#N/A"/>
    <s v="ПРА"/>
    <x v="0"/>
    <x v="0"/>
  </r>
  <r>
    <x v="37"/>
    <n v="30"/>
    <n v="15"/>
    <n v="10"/>
    <n v="5"/>
    <n v="0"/>
    <n v="45"/>
    <n v="60"/>
    <n v="2"/>
    <s v="изпит"/>
    <n v="40"/>
    <x v="4"/>
    <n v="15"/>
    <x v="26"/>
    <s v="нейчев"/>
    <n v="1959"/>
    <s v="ОТД"/>
    <s v="ОФД"/>
    <x v="0"/>
    <x v="0"/>
  </r>
  <r>
    <x v="38"/>
    <n v="30"/>
    <n v="15"/>
    <n v="15"/>
    <n v="0"/>
    <n v="0"/>
    <n v="45"/>
    <n v="60"/>
    <n v="2"/>
    <s v="изпит"/>
    <n v="30"/>
    <x v="2"/>
    <n v="0"/>
    <x v="27"/>
    <s v="куцаров"/>
    <n v="1942"/>
    <s v="ОТД"/>
    <s v="ОФД"/>
    <x v="0"/>
    <x v="0"/>
  </r>
  <r>
    <x v="43"/>
    <n v="30"/>
    <n v="15"/>
    <n v="15"/>
    <n v="0"/>
    <n v="0"/>
    <n v="45"/>
    <n v="60"/>
    <n v="2"/>
    <s v="продължава"/>
    <n v="30"/>
    <x v="4"/>
    <n v="5"/>
    <x v="2"/>
    <n v="0"/>
    <n v="0"/>
    <n v="0"/>
    <s v="СПЕ"/>
    <x v="0"/>
    <x v="0"/>
  </r>
  <r>
    <x v="44"/>
    <n v="30"/>
    <n v="15"/>
    <n v="10"/>
    <n v="5"/>
    <n v="0"/>
    <n v="45"/>
    <n v="60"/>
    <n v="2"/>
    <s v="продължава"/>
    <n v="30"/>
    <x v="5"/>
    <n v="10"/>
    <x v="3"/>
    <e v="#N/A"/>
    <e v="#N/A"/>
    <e v="#N/A"/>
    <s v="ОФД"/>
    <x v="0"/>
    <x v="0"/>
  </r>
  <r>
    <x v="45"/>
    <n v="15"/>
    <n v="15"/>
    <n v="0"/>
    <n v="0"/>
    <n v="15"/>
    <n v="45"/>
    <n v="60"/>
    <n v="2"/>
    <s v="т.о."/>
    <n v="15"/>
    <x v="3"/>
    <n v="15"/>
    <x v="2"/>
    <n v="0"/>
    <n v="0"/>
    <n v="0"/>
    <s v="ПЕД"/>
    <x v="0"/>
    <x v="0"/>
  </r>
  <r>
    <x v="46"/>
    <n v="15"/>
    <n v="10"/>
    <n v="0"/>
    <n v="0"/>
    <n v="10"/>
    <n v="50"/>
    <n v="60"/>
    <n v="2"/>
    <s v="т.о."/>
    <n v="10"/>
    <x v="3"/>
    <n v="10"/>
    <x v="3"/>
    <e v="#N/A"/>
    <e v="#N/A"/>
    <e v="#N/A"/>
    <e v="#N/A"/>
    <x v="0"/>
    <x v="0"/>
  </r>
  <r>
    <x v="9"/>
    <n v="360"/>
    <n v="210"/>
    <n v="95"/>
    <n v="35"/>
    <n v="80"/>
    <n v="690"/>
    <n v="900"/>
    <n v="30"/>
    <m/>
    <n v="0"/>
    <x v="3"/>
    <n v="0"/>
    <x v="3"/>
    <s v=" "/>
    <e v="#N/A"/>
    <e v="#N/A"/>
    <s v=" "/>
    <x v="0"/>
    <x v="0"/>
  </r>
  <r>
    <x v="47"/>
    <m/>
    <m/>
    <m/>
    <m/>
    <m/>
    <m/>
    <m/>
    <m/>
    <m/>
    <n v="0"/>
    <x v="3"/>
    <n v="0"/>
    <x v="2"/>
    <n v="0"/>
    <n v="0"/>
    <n v="0"/>
    <e v="#N/A"/>
    <x v="0"/>
    <x v="0"/>
  </r>
  <r>
    <x v="48"/>
    <n v="45"/>
    <n v="25"/>
    <n v="25"/>
    <n v="0"/>
    <n v="0"/>
    <n v="65"/>
    <n v="90"/>
    <n v="3"/>
    <s v="продължава"/>
    <n v="50"/>
    <x v="9"/>
    <n v="0"/>
    <x v="2"/>
    <n v="0"/>
    <n v="0"/>
    <n v="0"/>
    <s v="СПЕ"/>
    <x v="0"/>
    <x v="0"/>
  </r>
  <r>
    <x v="49"/>
    <n v="15"/>
    <n v="10"/>
    <n v="10"/>
    <n v="0"/>
    <n v="0"/>
    <n v="80"/>
    <n v="90"/>
    <n v="3"/>
    <s v="изпит"/>
    <n v="10"/>
    <x v="8"/>
    <n v="0"/>
    <x v="28"/>
    <s v="спилкова"/>
    <n v="1952"/>
    <s v="ОТД"/>
    <s v="ПЕД"/>
    <x v="0"/>
    <x v="0"/>
  </r>
  <r>
    <x v="50"/>
    <n v="15"/>
    <n v="10"/>
    <n v="10"/>
    <n v="0"/>
    <n v="0"/>
    <n v="80"/>
    <n v="90"/>
    <n v="3"/>
    <s v="изпит"/>
    <n v="10"/>
    <x v="8"/>
    <n v="0"/>
    <x v="29"/>
    <s v="гарушева"/>
    <n v="1947"/>
    <s v="ОТД"/>
    <s v="ПЕД"/>
    <x v="0"/>
    <x v="0"/>
  </r>
  <r>
    <x v="3"/>
    <n v="90"/>
    <n v="40"/>
    <n v="0"/>
    <n v="0"/>
    <n v="40"/>
    <n v="170"/>
    <n v="210"/>
    <n v="7"/>
    <s v="продължава"/>
    <n v="330"/>
    <x v="3"/>
    <n v="330"/>
    <x v="3"/>
    <e v="#N/A"/>
    <e v="#N/A"/>
    <e v="#N/A"/>
    <s v="ПРА"/>
    <x v="0"/>
    <x v="0"/>
  </r>
  <r>
    <x v="51"/>
    <n v="30"/>
    <n v="25"/>
    <n v="15"/>
    <n v="10"/>
    <n v="0"/>
    <n v="95"/>
    <n v="120"/>
    <n v="4"/>
    <s v="продължава"/>
    <n v="40"/>
    <x v="4"/>
    <n v="15"/>
    <x v="3"/>
    <e v="#N/A"/>
    <e v="#N/A"/>
    <e v="#N/A"/>
    <s v="ОФД"/>
    <x v="0"/>
    <x v="0"/>
  </r>
  <r>
    <x v="43"/>
    <n v="30"/>
    <n v="15"/>
    <n v="10"/>
    <n v="5"/>
    <n v="0"/>
    <n v="45"/>
    <n v="60"/>
    <n v="2"/>
    <s v="изпит"/>
    <n v="30"/>
    <x v="4"/>
    <n v="5"/>
    <x v="30"/>
    <s v="бъркалова"/>
    <n v="1956"/>
    <s v="ОТД"/>
    <s v="СПЕ"/>
    <x v="0"/>
    <x v="0"/>
  </r>
  <r>
    <x v="44"/>
    <n v="30"/>
    <n v="15"/>
    <n v="10"/>
    <n v="5"/>
    <n v="0"/>
    <n v="45"/>
    <n v="60"/>
    <n v="2"/>
    <s v="изпит"/>
    <n v="30"/>
    <x v="5"/>
    <n v="10"/>
    <x v="12"/>
    <s v="георгиева"/>
    <n v="1945"/>
    <s v="ОТД"/>
    <s v="ОФД"/>
    <x v="1"/>
    <x v="0"/>
  </r>
  <r>
    <x v="52"/>
    <n v="30"/>
    <n v="15"/>
    <n v="0"/>
    <n v="0"/>
    <n v="15"/>
    <n v="45"/>
    <n v="60"/>
    <n v="2"/>
    <s v="т.о."/>
    <n v="15"/>
    <x v="3"/>
    <n v="15"/>
    <x v="2"/>
    <n v="0"/>
    <n v="0"/>
    <n v="0"/>
    <s v="ФД"/>
    <x v="0"/>
    <x v="0"/>
  </r>
  <r>
    <x v="53"/>
    <n v="30"/>
    <n v="15"/>
    <n v="0"/>
    <n v="0"/>
    <n v="15"/>
    <n v="45"/>
    <n v="60"/>
    <n v="2"/>
    <s v="т.о."/>
    <n v="15"/>
    <x v="3"/>
    <n v="15"/>
    <x v="2"/>
    <n v="0"/>
    <n v="0"/>
    <n v="0"/>
    <s v="ПЕД"/>
    <x v="0"/>
    <x v="0"/>
  </r>
  <r>
    <x v="54"/>
    <n v="15"/>
    <n v="10"/>
    <n v="0"/>
    <n v="0"/>
    <n v="10"/>
    <n v="50"/>
    <n v="60"/>
    <n v="2"/>
    <s v="т.о."/>
    <n v="10"/>
    <x v="3"/>
    <n v="10"/>
    <x v="3"/>
    <e v="#N/A"/>
    <e v="#N/A"/>
    <e v="#N/A"/>
    <e v="#N/A"/>
    <x v="0"/>
    <x v="0"/>
  </r>
  <r>
    <x v="9"/>
    <n v="330"/>
    <n v="180"/>
    <n v="80"/>
    <n v="20"/>
    <n v="80"/>
    <n v="720"/>
    <n v="900"/>
    <n v="30"/>
    <m/>
    <n v="0"/>
    <x v="3"/>
    <n v="0"/>
    <x v="3"/>
    <s v=" "/>
    <e v="#N/A"/>
    <e v="#N/A"/>
    <s v=" "/>
    <x v="0"/>
    <x v="0"/>
  </r>
  <r>
    <x v="55"/>
    <m/>
    <m/>
    <m/>
    <m/>
    <m/>
    <m/>
    <m/>
    <m/>
    <m/>
    <n v="0"/>
    <x v="3"/>
    <n v="0"/>
    <x v="2"/>
    <n v="0"/>
    <n v="0"/>
    <n v="0"/>
    <e v="#N/A"/>
    <x v="0"/>
    <x v="0"/>
  </r>
  <r>
    <x v="48"/>
    <n v="30"/>
    <n v="25"/>
    <n v="25"/>
    <n v="0"/>
    <n v="0"/>
    <n v="65"/>
    <n v="90"/>
    <n v="5"/>
    <s v="изпит"/>
    <n v="50"/>
    <x v="9"/>
    <n v="0"/>
    <x v="31"/>
    <s v="липчева"/>
    <n v="1961"/>
    <s v="ОТД"/>
    <s v="СПЕ"/>
    <x v="0"/>
    <x v="0"/>
  </r>
  <r>
    <x v="3"/>
    <n v="90"/>
    <n v="40"/>
    <n v="0"/>
    <n v="0"/>
    <n v="40"/>
    <n v="170"/>
    <n v="210"/>
    <n v="7"/>
    <s v="изпит"/>
    <n v="330"/>
    <x v="3"/>
    <n v="330"/>
    <x v="3"/>
    <e v="#N/A"/>
    <e v="#N/A"/>
    <e v="#N/A"/>
    <s v="ПРА"/>
    <x v="0"/>
    <x v="0"/>
  </r>
  <r>
    <x v="56"/>
    <n v="45"/>
    <n v="25"/>
    <n v="0"/>
    <n v="0"/>
    <n v="25"/>
    <n v="95"/>
    <n v="120"/>
    <n v="4"/>
    <s v="изпит"/>
    <n v="25"/>
    <x v="3"/>
    <n v="25"/>
    <x v="2"/>
    <n v="0"/>
    <n v="0"/>
    <n v="0"/>
    <s v="ПЕД"/>
    <x v="0"/>
    <x v="0"/>
  </r>
  <r>
    <x v="57"/>
    <n v="30"/>
    <n v="15"/>
    <n v="0"/>
    <n v="0"/>
    <n v="15"/>
    <n v="75"/>
    <n v="90"/>
    <n v="3"/>
    <s v="изпит"/>
    <n v="15"/>
    <x v="3"/>
    <n v="15"/>
    <x v="3"/>
    <e v="#N/A"/>
    <e v="#N/A"/>
    <e v="#N/A"/>
    <e v="#N/A"/>
    <x v="0"/>
    <x v="0"/>
  </r>
  <r>
    <x v="51"/>
    <n v="30"/>
    <n v="15"/>
    <n v="10"/>
    <n v="5"/>
    <n v="0"/>
    <n v="45"/>
    <n v="60"/>
    <n v="4"/>
    <s v="изпит"/>
    <n v="40"/>
    <x v="4"/>
    <n v="15"/>
    <x v="32"/>
    <s v="арбова"/>
    <n v="1963"/>
    <s v="ОТД"/>
    <s v="ОФД"/>
    <x v="0"/>
    <x v="0"/>
  </r>
  <r>
    <x v="58"/>
    <n v="30"/>
    <n v="25"/>
    <n v="15"/>
    <n v="10"/>
    <n v="0"/>
    <n v="65"/>
    <n v="90"/>
    <n v="4"/>
    <s v="изпит"/>
    <n v="25"/>
    <x v="1"/>
    <n v="10"/>
    <x v="23"/>
    <s v="маровска"/>
    <n v="1954"/>
    <s v="ОТД"/>
    <s v="СПЕ"/>
    <x v="0"/>
    <x v="0"/>
  </r>
  <r>
    <x v="59"/>
    <n v="30"/>
    <n v="15"/>
    <n v="10"/>
    <n v="5"/>
    <n v="0"/>
    <n v="45"/>
    <n v="60"/>
    <n v="3"/>
    <s v="изпит"/>
    <n v="15"/>
    <x v="8"/>
    <n v="5"/>
    <x v="20"/>
    <s v="ючакърова"/>
    <n v="1964"/>
    <s v="ОТД"/>
    <s v="СПЕ"/>
    <x v="1"/>
    <x v="0"/>
  </r>
  <r>
    <x v="9"/>
    <n v="285"/>
    <n v="160"/>
    <n v="60"/>
    <n v="20"/>
    <n v="80"/>
    <n v="560"/>
    <n v="720"/>
    <n v="30"/>
    <m/>
    <n v="0"/>
    <x v="3"/>
    <n v="0"/>
    <x v="33"/>
    <m/>
    <s v=" "/>
    <s v=" "/>
    <s v=" "/>
    <x v="0"/>
    <x v="0"/>
  </r>
  <r>
    <x v="60"/>
    <m/>
    <m/>
    <m/>
    <m/>
    <m/>
    <m/>
    <m/>
    <m/>
    <m/>
    <n v="0"/>
    <x v="3"/>
    <n v="0"/>
    <x v="33"/>
    <m/>
    <s v=" "/>
    <s v=" "/>
    <e v="#N/A"/>
    <x v="0"/>
    <x v="0"/>
  </r>
  <r>
    <x v="61"/>
    <m/>
    <m/>
    <m/>
    <m/>
    <m/>
    <m/>
    <m/>
    <n v="2"/>
    <s v="изпит"/>
    <n v="0"/>
    <x v="3"/>
    <n v="0"/>
    <x v="33"/>
    <m/>
    <s v=" "/>
    <s v=" "/>
    <e v="#N/A"/>
    <x v="0"/>
    <x v="0"/>
  </r>
  <r>
    <x v="62"/>
    <m/>
    <m/>
    <m/>
    <m/>
    <m/>
    <m/>
    <m/>
    <n v="2"/>
    <s v="изпит"/>
    <n v="0"/>
    <x v="3"/>
    <n v="0"/>
    <x v="33"/>
    <m/>
    <s v=" "/>
    <s v=" "/>
    <e v="#N/A"/>
    <x v="0"/>
    <x v="0"/>
  </r>
  <r>
    <x v="63"/>
    <m/>
    <m/>
    <m/>
    <m/>
    <m/>
    <m/>
    <m/>
    <n v="3"/>
    <s v="изпит"/>
    <n v="0"/>
    <x v="3"/>
    <n v="0"/>
    <x v="33"/>
    <m/>
    <s v=" "/>
    <s v=" "/>
    <e v="#N/A"/>
    <x v="0"/>
    <x v="0"/>
  </r>
  <r>
    <x v="64"/>
    <m/>
    <m/>
    <m/>
    <m/>
    <m/>
    <m/>
    <m/>
    <n v="3"/>
    <s v="изпит"/>
    <n v="0"/>
    <x v="3"/>
    <n v="0"/>
    <x v="33"/>
    <m/>
    <s v=" "/>
    <s v=" "/>
    <e v="#N/A"/>
    <x v="0"/>
    <x v="0"/>
  </r>
  <r>
    <x v="9"/>
    <m/>
    <m/>
    <m/>
    <m/>
    <m/>
    <m/>
    <m/>
    <n v="10"/>
    <m/>
    <n v="0"/>
    <x v="3"/>
    <n v="0"/>
    <x v="33"/>
    <m/>
    <s v=" "/>
    <s v=" "/>
    <s v=" "/>
    <x v="0"/>
    <x v="0"/>
  </r>
  <r>
    <x v="65"/>
    <n v="2565"/>
    <n v="1537.5"/>
    <n v="752.5"/>
    <n v="240"/>
    <n v="545"/>
    <n v="5482.5"/>
    <n v="7020"/>
    <n v="253"/>
    <m/>
    <n v="1537.5"/>
    <x v="10"/>
    <n v="785"/>
    <x v="33"/>
    <m/>
    <s v=" "/>
    <s v=" "/>
    <e v="#N/A"/>
    <x v="0"/>
    <x v="0"/>
  </r>
  <r>
    <x v="9"/>
    <m/>
    <n v="12.8125"/>
    <n v="6.270833333333333"/>
    <n v="2"/>
    <n v="4.541666666666667"/>
    <n v="45.6875"/>
    <n v="58.5"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n v="0"/>
    <x v="3"/>
    <n v="0"/>
    <x v="33"/>
    <m/>
    <s v=" "/>
    <s v=" "/>
    <s v=" "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  <r>
    <x v="9"/>
    <m/>
    <m/>
    <m/>
    <m/>
    <m/>
    <m/>
    <m/>
    <m/>
    <m/>
    <m/>
    <x v="11"/>
    <m/>
    <x v="0"/>
    <m/>
    <m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Обобщена таблица1" cacheId="0" applyNumberFormats="0" applyBorderFormats="0" applyFontFormats="0" applyPatternFormats="0" applyAlignmentFormats="0" applyWidthHeightFormats="1" dataCaption="Стойности" updatedVersion="4" minRefreshableVersion="3" useAutoFormatting="1" itemPrintTitles="1" createdVersion="4" indent="0" compact="0" compactData="0" multipleFieldFilters="0" chartFormat="1">
  <location ref="A3:D36" firstHeaderRow="1" firstDataRow="1" firstDataCol="4" rowPageCount="1" colPageCount="1"/>
  <pivotFields count="20">
    <pivotField axis="axisRow" compact="0" outline="0" showAll="0" defaultSubtotal="0">
      <items count="66">
        <item x="6"/>
        <item x="27"/>
        <item x="18"/>
        <item x="48"/>
        <item x="35"/>
        <item x="13"/>
        <item x="1"/>
        <item x="60"/>
        <item x="65"/>
        <item x="4"/>
        <item x="11"/>
        <item x="61"/>
        <item x="62"/>
        <item x="36"/>
        <item x="2"/>
        <item x="28"/>
        <item x="0"/>
        <item x="10"/>
        <item x="47"/>
        <item x="55"/>
        <item x="26"/>
        <item x="17"/>
        <item x="34"/>
        <item x="40"/>
        <item x="50"/>
        <item x="49"/>
        <item x="41"/>
        <item x="19"/>
        <item x="63"/>
        <item x="64"/>
        <item x="56"/>
        <item x="57"/>
        <item x="20"/>
        <item x="21"/>
        <item x="29"/>
        <item x="37"/>
        <item x="51"/>
        <item x="3"/>
        <item x="42"/>
        <item x="38"/>
        <item x="22"/>
        <item x="30"/>
        <item x="43"/>
        <item x="58"/>
        <item x="15"/>
        <item x="23"/>
        <item x="31"/>
        <item x="44"/>
        <item x="59"/>
        <item x="16"/>
        <item x="53"/>
        <item x="54"/>
        <item x="7"/>
        <item x="8"/>
        <item x="32"/>
        <item x="5"/>
        <item x="12"/>
        <item x="39"/>
        <item x="52"/>
        <item x="45"/>
        <item x="46"/>
        <item h="1" x="9"/>
        <item h="1" x="14"/>
        <item h="1" x="24"/>
        <item h="1" x="25"/>
        <item h="1" x="33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12">
        <item h="1" x="3"/>
        <item h="1" x="0"/>
        <item x="1"/>
        <item x="2"/>
        <item x="4"/>
        <item x="5"/>
        <item x="6"/>
        <item x="7"/>
        <item x="8"/>
        <item x="9"/>
        <item h="1" x="10"/>
        <item h="1" x="11"/>
      </items>
    </pivotField>
    <pivotField compact="0" outline="0" showAll="0" defaultSubtotal="0"/>
    <pivotField axis="axisRow" compact="0" outline="0" showAll="0" defaultSubtotal="0">
      <items count="34">
        <item h="1" x="33"/>
        <item x="1"/>
        <item x="16"/>
        <item x="32"/>
        <item x="7"/>
        <item x="4"/>
        <item x="20"/>
        <item x="15"/>
        <item x="11"/>
        <item sd="0" x="18"/>
        <item x="24"/>
        <item x="6"/>
        <item x="26"/>
        <item x="29"/>
        <item x="30"/>
        <item x="28"/>
        <item x="10"/>
        <item x="9"/>
        <item x="23"/>
        <item x="13"/>
        <item x="14"/>
        <item x="5"/>
        <item x="8"/>
        <item x="12"/>
        <item x="19"/>
        <item x="27"/>
        <item x="31"/>
        <item x="0"/>
        <item h="1" x="2"/>
        <item h="1" x="3"/>
        <item h="1" x="17"/>
        <item h="1" x="21"/>
        <item h="1" x="22"/>
        <item h="1" x="2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">
        <item x="1"/>
        <item n=" " x="0"/>
      </items>
    </pivotField>
    <pivotField axis="axisRow" compact="0" outline="0" showAll="0" defaultSubtotal="0">
      <items count="1">
        <item n=" " x="0"/>
      </items>
    </pivotField>
  </pivotFields>
  <rowFields count="4">
    <field x="0"/>
    <field x="13"/>
    <field x="19"/>
    <field x="18"/>
  </rowFields>
  <rowItems count="33">
    <i>
      <x v="2"/>
      <x v="9"/>
    </i>
    <i>
      <x v="3"/>
      <x v="26"/>
      <x/>
      <x v="1"/>
    </i>
    <i>
      <x v="4"/>
      <x v="10"/>
      <x/>
      <x v="1"/>
    </i>
    <i>
      <x v="5"/>
      <x v="22"/>
      <x/>
      <x/>
    </i>
    <i>
      <x v="6"/>
      <x v="1"/>
      <x/>
      <x v="1"/>
    </i>
    <i>
      <x v="9"/>
      <x v="5"/>
      <x/>
      <x v="1"/>
    </i>
    <i>
      <x v="10"/>
      <x v="4"/>
      <x/>
      <x v="1"/>
    </i>
    <i>
      <x v="13"/>
      <x v="17"/>
      <x/>
      <x/>
    </i>
    <i>
      <x v="14"/>
      <x v="17"/>
      <x/>
      <x v="1"/>
    </i>
    <i>
      <x v="15"/>
      <x v="24"/>
      <x/>
      <x v="1"/>
    </i>
    <i>
      <x v="24"/>
      <x v="13"/>
      <x/>
      <x v="1"/>
    </i>
    <i>
      <x v="25"/>
      <x v="15"/>
      <x/>
      <x v="1"/>
    </i>
    <i>
      <x v="27"/>
      <x v="19"/>
      <x/>
      <x v="1"/>
    </i>
    <i>
      <x v="32"/>
      <x v="20"/>
      <x/>
      <x v="1"/>
    </i>
    <i>
      <x v="33"/>
      <x v="7"/>
      <x/>
      <x v="1"/>
    </i>
    <i>
      <x v="34"/>
      <x v="7"/>
      <x/>
      <x/>
    </i>
    <i>
      <x v="35"/>
      <x v="12"/>
      <x/>
      <x v="1"/>
    </i>
    <i>
      <x v="36"/>
      <x v="3"/>
      <x/>
      <x v="1"/>
    </i>
    <i>
      <x v="39"/>
      <x v="25"/>
      <x/>
      <x v="1"/>
    </i>
    <i>
      <x v="40"/>
      <x v="2"/>
      <x/>
      <x v="1"/>
    </i>
    <i>
      <x v="41"/>
      <x v="18"/>
      <x/>
      <x v="1"/>
    </i>
    <i>
      <x v="42"/>
      <x v="14"/>
      <x/>
      <x v="1"/>
    </i>
    <i>
      <x v="43"/>
      <x v="18"/>
      <x/>
      <x v="1"/>
    </i>
    <i>
      <x v="44"/>
      <x v="8"/>
      <x/>
      <x v="1"/>
    </i>
    <i>
      <x v="45"/>
      <x v="23"/>
      <x/>
      <x v="1"/>
    </i>
    <i>
      <x v="46"/>
      <x v="23"/>
      <x/>
      <x v="1"/>
    </i>
    <i>
      <x v="47"/>
      <x v="23"/>
      <x/>
      <x/>
    </i>
    <i>
      <x v="48"/>
      <x v="6"/>
      <x/>
      <x/>
    </i>
    <i>
      <x v="49"/>
      <x v="23"/>
      <x/>
      <x/>
    </i>
    <i>
      <x v="52"/>
      <x v="21"/>
      <x/>
      <x v="1"/>
    </i>
    <i>
      <x v="53"/>
      <x v="11"/>
      <x/>
      <x v="1"/>
    </i>
    <i>
      <x v="54"/>
      <x v="6"/>
      <x/>
      <x v="1"/>
    </i>
    <i t="grand">
      <x/>
    </i>
  </rowItems>
  <colItems count="1">
    <i/>
  </colItems>
  <pageFields count="1">
    <pageField fld="11" hier="-1"/>
  </pageFields>
  <formats count="98">
    <format dxfId="97">
      <pivotArea field="0" type="button" dataOnly="0" labelOnly="1" outline="0" axis="axisRow" fieldPosition="0"/>
    </format>
    <format dxfId="96">
      <pivotArea field="13" type="button" dataOnly="0" labelOnly="1" outline="0" axis="axisRow" fieldPosition="1"/>
    </format>
    <format dxfId="95">
      <pivotArea field="19" type="button" dataOnly="0" labelOnly="1" outline="0" axis="axisRow" fieldPosition="2"/>
    </format>
    <format dxfId="94">
      <pivotArea field="18" type="button" dataOnly="0" labelOnly="1" outline="0" axis="axisRow" fieldPosition="3"/>
    </format>
    <format dxfId="93">
      <pivotArea dataOnly="0" labelOnly="1" outline="0" fieldPosition="0">
        <references count="1">
          <reference field="0" count="33">
            <x v="1"/>
            <x v="2"/>
            <x v="3"/>
            <x v="4"/>
            <x v="5"/>
            <x v="6"/>
            <x v="10"/>
            <x v="13"/>
            <x v="14"/>
            <x v="15"/>
            <x v="24"/>
            <x v="25"/>
            <x v="26"/>
            <x v="27"/>
            <x v="32"/>
            <x v="33"/>
            <x v="34"/>
            <x v="35"/>
            <x v="36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2"/>
            <x v="53"/>
            <x v="54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2"/>
          </reference>
          <reference field="13" count="1">
            <x v="9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3"/>
          </reference>
          <reference field="13" count="1">
            <x v="26"/>
          </reference>
        </references>
      </pivotArea>
    </format>
    <format dxfId="90">
      <pivotArea dataOnly="0" labelOnly="1" outline="0" fieldPosition="0">
        <references count="2">
          <reference field="0" count="1" selected="0">
            <x v="4"/>
          </reference>
          <reference field="13" count="1">
            <x v="10"/>
          </reference>
        </references>
      </pivotArea>
    </format>
    <format dxfId="89">
      <pivotArea dataOnly="0" labelOnly="1" outline="0" fieldPosition="0">
        <references count="2">
          <reference field="0" count="1" selected="0">
            <x v="5"/>
          </reference>
          <reference field="13" count="1">
            <x v="22"/>
          </reference>
        </references>
      </pivotArea>
    </format>
    <format dxfId="88">
      <pivotArea dataOnly="0" labelOnly="1" outline="0" fieldPosition="0">
        <references count="2">
          <reference field="0" count="1" selected="0">
            <x v="6"/>
          </reference>
          <reference field="13" count="1">
            <x v="1"/>
          </reference>
        </references>
      </pivotArea>
    </format>
    <format dxfId="87">
      <pivotArea dataOnly="0" labelOnly="1" outline="0" fieldPosition="0">
        <references count="2">
          <reference field="0" count="1" selected="0">
            <x v="10"/>
          </reference>
          <reference field="13" count="1">
            <x v="4"/>
          </reference>
        </references>
      </pivotArea>
    </format>
    <format dxfId="86">
      <pivotArea dataOnly="0" labelOnly="1" outline="0" fieldPosition="0">
        <references count="2">
          <reference field="0" count="1" selected="0">
            <x v="13"/>
          </reference>
          <reference field="13" count="1">
            <x v="17"/>
          </reference>
        </references>
      </pivotArea>
    </format>
    <format dxfId="85">
      <pivotArea dataOnly="0" labelOnly="1" outline="0" fieldPosition="0">
        <references count="2">
          <reference field="0" count="1" selected="0">
            <x v="15"/>
          </reference>
          <reference field="13" count="1">
            <x v="24"/>
          </reference>
        </references>
      </pivotArea>
    </format>
    <format dxfId="84">
      <pivotArea dataOnly="0" labelOnly="1" outline="0" fieldPosition="0">
        <references count="2">
          <reference field="0" count="1" selected="0">
            <x v="24"/>
          </reference>
          <reference field="13" count="1">
            <x v="13"/>
          </reference>
        </references>
      </pivotArea>
    </format>
    <format dxfId="83">
      <pivotArea dataOnly="0" labelOnly="1" outline="0" fieldPosition="0">
        <references count="2">
          <reference field="0" count="1" selected="0">
            <x v="25"/>
          </reference>
          <reference field="13" count="1">
            <x v="15"/>
          </reference>
        </references>
      </pivotArea>
    </format>
    <format dxfId="82">
      <pivotArea dataOnly="0" labelOnly="1" outline="0" fieldPosition="0">
        <references count="2">
          <reference field="0" count="1" selected="0">
            <x v="26"/>
          </reference>
          <reference field="13" count="1">
            <x v="5"/>
          </reference>
        </references>
      </pivotArea>
    </format>
    <format dxfId="81">
      <pivotArea dataOnly="0" labelOnly="1" outline="0" fieldPosition="0">
        <references count="2">
          <reference field="0" count="1" selected="0">
            <x v="27"/>
          </reference>
          <reference field="13" count="1">
            <x v="19"/>
          </reference>
        </references>
      </pivotArea>
    </format>
    <format dxfId="80">
      <pivotArea dataOnly="0" labelOnly="1" outline="0" fieldPosition="0">
        <references count="2">
          <reference field="0" count="1" selected="0">
            <x v="32"/>
          </reference>
          <reference field="13" count="1">
            <x v="20"/>
          </reference>
        </references>
      </pivotArea>
    </format>
    <format dxfId="79">
      <pivotArea dataOnly="0" labelOnly="1" outline="0" fieldPosition="0">
        <references count="2">
          <reference field="0" count="1" selected="0">
            <x v="33"/>
          </reference>
          <reference field="13" count="1">
            <x v="7"/>
          </reference>
        </references>
      </pivotArea>
    </format>
    <format dxfId="78">
      <pivotArea dataOnly="0" labelOnly="1" outline="0" fieldPosition="0">
        <references count="2">
          <reference field="0" count="1" selected="0">
            <x v="35"/>
          </reference>
          <reference field="13" count="1">
            <x v="12"/>
          </reference>
        </references>
      </pivotArea>
    </format>
    <format dxfId="77">
      <pivotArea dataOnly="0" labelOnly="1" outline="0" fieldPosition="0">
        <references count="2">
          <reference field="0" count="1" selected="0">
            <x v="36"/>
          </reference>
          <reference field="13" count="1">
            <x v="3"/>
          </reference>
        </references>
      </pivotArea>
    </format>
    <format dxfId="76">
      <pivotArea dataOnly="0" labelOnly="1" outline="0" fieldPosition="0">
        <references count="2">
          <reference field="0" count="1" selected="0">
            <x v="39"/>
          </reference>
          <reference field="13" count="1">
            <x v="25"/>
          </reference>
        </references>
      </pivotArea>
    </format>
    <format dxfId="75">
      <pivotArea dataOnly="0" labelOnly="1" outline="0" fieldPosition="0">
        <references count="2">
          <reference field="0" count="1" selected="0">
            <x v="40"/>
          </reference>
          <reference field="13" count="1">
            <x v="2"/>
          </reference>
        </references>
      </pivotArea>
    </format>
    <format dxfId="74">
      <pivotArea dataOnly="0" labelOnly="1" outline="0" fieldPosition="0">
        <references count="2">
          <reference field="0" count="1" selected="0">
            <x v="42"/>
          </reference>
          <reference field="13" count="1">
            <x v="14"/>
          </reference>
        </references>
      </pivotArea>
    </format>
    <format dxfId="73">
      <pivotArea dataOnly="0" labelOnly="1" outline="0" fieldPosition="0">
        <references count="2">
          <reference field="0" count="1" selected="0">
            <x v="43"/>
          </reference>
          <reference field="13" count="1">
            <x v="18"/>
          </reference>
        </references>
      </pivotArea>
    </format>
    <format dxfId="72">
      <pivotArea dataOnly="0" labelOnly="1" outline="0" fieldPosition="0">
        <references count="2">
          <reference field="0" count="1" selected="0">
            <x v="44"/>
          </reference>
          <reference field="13" count="1">
            <x v="8"/>
          </reference>
        </references>
      </pivotArea>
    </format>
    <format dxfId="71">
      <pivotArea dataOnly="0" labelOnly="1" outline="0" fieldPosition="0">
        <references count="2">
          <reference field="0" count="1" selected="0">
            <x v="45"/>
          </reference>
          <reference field="13" count="1">
            <x v="23"/>
          </reference>
        </references>
      </pivotArea>
    </format>
    <format dxfId="70">
      <pivotArea dataOnly="0" labelOnly="1" outline="0" fieldPosition="0">
        <references count="2">
          <reference field="0" count="1" selected="0">
            <x v="48"/>
          </reference>
          <reference field="13" count="1">
            <x v="6"/>
          </reference>
        </references>
      </pivotArea>
    </format>
    <format dxfId="69">
      <pivotArea dataOnly="0" labelOnly="1" outline="0" fieldPosition="0">
        <references count="2">
          <reference field="0" count="1" selected="0">
            <x v="49"/>
          </reference>
          <reference field="13" count="1">
            <x v="23"/>
          </reference>
        </references>
      </pivotArea>
    </format>
    <format dxfId="68">
      <pivotArea dataOnly="0" labelOnly="1" outline="0" fieldPosition="0">
        <references count="2">
          <reference field="0" count="1" selected="0">
            <x v="52"/>
          </reference>
          <reference field="13" count="1">
            <x v="21"/>
          </reference>
        </references>
      </pivotArea>
    </format>
    <format dxfId="67">
      <pivotArea dataOnly="0" labelOnly="1" outline="0" fieldPosition="0">
        <references count="2">
          <reference field="0" count="1" selected="0">
            <x v="53"/>
          </reference>
          <reference field="13" count="1">
            <x v="11"/>
          </reference>
        </references>
      </pivotArea>
    </format>
    <format dxfId="66">
      <pivotArea dataOnly="0" labelOnly="1" outline="0" fieldPosition="0">
        <references count="2">
          <reference field="0" count="1" selected="0">
            <x v="54"/>
          </reference>
          <reference field="13" count="1">
            <x v="6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3"/>
          </reference>
          <reference field="13" count="1" selected="0">
            <x v="26"/>
          </reference>
          <reference field="19" count="0"/>
        </references>
      </pivotArea>
    </format>
    <format dxfId="64">
      <pivotArea field="0" type="button" dataOnly="0" labelOnly="1" outline="0" axis="axisRow" fieldPosition="0"/>
    </format>
    <format dxfId="63">
      <pivotArea field="13" type="button" dataOnly="0" labelOnly="1" outline="0" axis="axisRow" fieldPosition="1"/>
    </format>
    <format dxfId="62">
      <pivotArea field="19" type="button" dataOnly="0" labelOnly="1" outline="0" axis="axisRow" fieldPosition="2"/>
    </format>
    <format dxfId="61">
      <pivotArea field="18" type="button" dataOnly="0" labelOnly="1" outline="0" axis="axisRow" fieldPosition="3"/>
    </format>
    <format dxfId="60">
      <pivotArea dataOnly="0" labelOnly="1" outline="0" fieldPosition="0">
        <references count="1">
          <reference field="0" count="32">
            <x v="2"/>
            <x v="3"/>
            <x v="4"/>
            <x v="5"/>
            <x v="6"/>
            <x v="9"/>
            <x v="10"/>
            <x v="13"/>
            <x v="14"/>
            <x v="15"/>
            <x v="24"/>
            <x v="25"/>
            <x v="27"/>
            <x v="32"/>
            <x v="33"/>
            <x v="34"/>
            <x v="35"/>
            <x v="36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2"/>
            <x v="53"/>
            <x v="54"/>
          </reference>
        </references>
      </pivotArea>
    </format>
    <format dxfId="59">
      <pivotArea dataOnly="0" labelOnly="1" outline="0" fieldPosition="0">
        <references count="2">
          <reference field="0" count="1" selected="0">
            <x v="2"/>
          </reference>
          <reference field="13" count="1">
            <x v="9"/>
          </reference>
        </references>
      </pivotArea>
    </format>
    <format dxfId="58">
      <pivotArea dataOnly="0" labelOnly="1" outline="0" fieldPosition="0">
        <references count="2">
          <reference field="0" count="1" selected="0">
            <x v="3"/>
          </reference>
          <reference field="13" count="1">
            <x v="26"/>
          </reference>
        </references>
      </pivotArea>
    </format>
    <format dxfId="57">
      <pivotArea dataOnly="0" labelOnly="1" outline="0" fieldPosition="0">
        <references count="2">
          <reference field="0" count="1" selected="0">
            <x v="4"/>
          </reference>
          <reference field="13" count="1">
            <x v="10"/>
          </reference>
        </references>
      </pivotArea>
    </format>
    <format dxfId="56">
      <pivotArea dataOnly="0" labelOnly="1" outline="0" fieldPosition="0">
        <references count="2">
          <reference field="0" count="1" selected="0">
            <x v="5"/>
          </reference>
          <reference field="13" count="1">
            <x v="22"/>
          </reference>
        </references>
      </pivotArea>
    </format>
    <format dxfId="55">
      <pivotArea dataOnly="0" labelOnly="1" outline="0" fieldPosition="0">
        <references count="2">
          <reference field="0" count="1" selected="0">
            <x v="6"/>
          </reference>
          <reference field="13" count="1">
            <x v="1"/>
          </reference>
        </references>
      </pivotArea>
    </format>
    <format dxfId="54">
      <pivotArea dataOnly="0" labelOnly="1" outline="0" fieldPosition="0">
        <references count="2">
          <reference field="0" count="1" selected="0">
            <x v="9"/>
          </reference>
          <reference field="13" count="1">
            <x v="5"/>
          </reference>
        </references>
      </pivotArea>
    </format>
    <format dxfId="53">
      <pivotArea dataOnly="0" labelOnly="1" outline="0" fieldPosition="0">
        <references count="2">
          <reference field="0" count="1" selected="0">
            <x v="10"/>
          </reference>
          <reference field="13" count="1">
            <x v="4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13"/>
          </reference>
          <reference field="13" count="1">
            <x v="17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15"/>
          </reference>
          <reference field="13" count="1">
            <x v="24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24"/>
          </reference>
          <reference field="13" count="1">
            <x v="13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25"/>
          </reference>
          <reference field="13" count="1">
            <x v="15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27"/>
          </reference>
          <reference field="13" count="1">
            <x v="19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32"/>
          </reference>
          <reference field="13" count="1">
            <x v="20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33"/>
          </reference>
          <reference field="13" count="1">
            <x v="7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35"/>
          </reference>
          <reference field="13" count="1">
            <x v="12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36"/>
          </reference>
          <reference field="13" count="1">
            <x v="3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39"/>
          </reference>
          <reference field="13" count="1">
            <x v="25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40"/>
          </reference>
          <reference field="13" count="1">
            <x v="2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41"/>
          </reference>
          <reference field="13" count="1">
            <x v="18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42"/>
          </reference>
          <reference field="13" count="1">
            <x v="14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43"/>
          </reference>
          <reference field="13" count="1">
            <x v="18"/>
          </reference>
        </references>
      </pivotArea>
    </format>
    <format dxfId="38">
      <pivotArea dataOnly="0" labelOnly="1" outline="0" fieldPosition="0">
        <references count="2">
          <reference field="0" count="1" selected="0">
            <x v="44"/>
          </reference>
          <reference field="13" count="1">
            <x v="8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45"/>
          </reference>
          <reference field="13" count="1">
            <x v="23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48"/>
          </reference>
          <reference field="13" count="1">
            <x v="6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49"/>
          </reference>
          <reference field="13" count="1">
            <x v="23"/>
          </reference>
        </references>
      </pivotArea>
    </format>
    <format dxfId="34">
      <pivotArea dataOnly="0" labelOnly="1" outline="0" fieldPosition="0">
        <references count="2">
          <reference field="0" count="1" selected="0">
            <x v="52"/>
          </reference>
          <reference field="13" count="1">
            <x v="21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53"/>
          </reference>
          <reference field="13" count="1">
            <x v="11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54"/>
          </reference>
          <reference field="13" count="1">
            <x v="6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3"/>
          </reference>
          <reference field="13" count="1" selected="0">
            <x v="26"/>
          </reference>
          <reference field="19" count="0"/>
        </references>
      </pivotArea>
    </format>
    <format dxfId="30">
      <pivotArea dataOnly="0" labelOnly="1" outline="0" fieldPosition="0">
        <references count="4">
          <reference field="0" count="1" selected="0">
            <x v="3"/>
          </reference>
          <reference field="13" count="1" selected="0">
            <x v="26"/>
          </reference>
          <reference field="18" count="1">
            <x v="1"/>
          </reference>
          <reference field="19" count="0" selected="0"/>
        </references>
      </pivotArea>
    </format>
    <format dxfId="29">
      <pivotArea dataOnly="0" labelOnly="1" outline="0" fieldPosition="0">
        <references count="4">
          <reference field="0" count="1" selected="0">
            <x v="4"/>
          </reference>
          <reference field="13" count="1" selected="0">
            <x v="10"/>
          </reference>
          <reference field="18" count="1">
            <x v="1"/>
          </reference>
          <reference field="19" count="0" selected="0"/>
        </references>
      </pivotArea>
    </format>
    <format dxfId="28">
      <pivotArea dataOnly="0" labelOnly="1" outline="0" fieldPosition="0">
        <references count="4">
          <reference field="0" count="1" selected="0">
            <x v="5"/>
          </reference>
          <reference field="13" count="1" selected="0">
            <x v="22"/>
          </reference>
          <reference field="18" count="1">
            <x v="0"/>
          </reference>
          <reference field="19" count="0" selected="0"/>
        </references>
      </pivotArea>
    </format>
    <format dxfId="27">
      <pivotArea dataOnly="0" labelOnly="1" outline="0" fieldPosition="0">
        <references count="4">
          <reference field="0" count="1" selected="0">
            <x v="6"/>
          </reference>
          <reference field="13" count="1" selected="0">
            <x v="1"/>
          </reference>
          <reference field="18" count="1">
            <x v="1"/>
          </reference>
          <reference field="19" count="0" selected="0"/>
        </references>
      </pivotArea>
    </format>
    <format dxfId="26">
      <pivotArea dataOnly="0" labelOnly="1" outline="0" fieldPosition="0">
        <references count="4">
          <reference field="0" count="1" selected="0">
            <x v="9"/>
          </reference>
          <reference field="13" count="1" selected="0">
            <x v="5"/>
          </reference>
          <reference field="18" count="1">
            <x v="1"/>
          </reference>
          <reference field="19" count="0" selected="0"/>
        </references>
      </pivotArea>
    </format>
    <format dxfId="25">
      <pivotArea dataOnly="0" labelOnly="1" outline="0" fieldPosition="0">
        <references count="4">
          <reference field="0" count="1" selected="0">
            <x v="10"/>
          </reference>
          <reference field="13" count="1" selected="0">
            <x v="4"/>
          </reference>
          <reference field="18" count="1">
            <x v="1"/>
          </reference>
          <reference field="19" count="0" selected="0"/>
        </references>
      </pivotArea>
    </format>
    <format dxfId="24">
      <pivotArea dataOnly="0" labelOnly="1" outline="0" fieldPosition="0">
        <references count="4">
          <reference field="0" count="1" selected="0">
            <x v="13"/>
          </reference>
          <reference field="13" count="1" selected="0">
            <x v="17"/>
          </reference>
          <reference field="18" count="1">
            <x v="0"/>
          </reference>
          <reference field="19" count="0" selected="0"/>
        </references>
      </pivotArea>
    </format>
    <format dxfId="23">
      <pivotArea dataOnly="0" labelOnly="1" outline="0" fieldPosition="0">
        <references count="4">
          <reference field="0" count="1" selected="0">
            <x v="14"/>
          </reference>
          <reference field="13" count="1" selected="0">
            <x v="17"/>
          </reference>
          <reference field="18" count="1">
            <x v="1"/>
          </reference>
          <reference field="19" count="0" selected="0"/>
        </references>
      </pivotArea>
    </format>
    <format dxfId="22">
      <pivotArea dataOnly="0" labelOnly="1" outline="0" fieldPosition="0">
        <references count="4">
          <reference field="0" count="1" selected="0">
            <x v="15"/>
          </reference>
          <reference field="13" count="1" selected="0">
            <x v="24"/>
          </reference>
          <reference field="18" count="1">
            <x v="1"/>
          </reference>
          <reference field="19" count="0" selected="0"/>
        </references>
      </pivotArea>
    </format>
    <format dxfId="21">
      <pivotArea dataOnly="0" labelOnly="1" outline="0" fieldPosition="0">
        <references count="4">
          <reference field="0" count="1" selected="0">
            <x v="24"/>
          </reference>
          <reference field="13" count="1" selected="0">
            <x v="13"/>
          </reference>
          <reference field="18" count="1">
            <x v="1"/>
          </reference>
          <reference field="19" count="0" selected="0"/>
        </references>
      </pivotArea>
    </format>
    <format dxfId="20">
      <pivotArea dataOnly="0" labelOnly="1" outline="0" fieldPosition="0">
        <references count="4">
          <reference field="0" count="1" selected="0">
            <x v="25"/>
          </reference>
          <reference field="13" count="1" selected="0">
            <x v="15"/>
          </reference>
          <reference field="18" count="1">
            <x v="1"/>
          </reference>
          <reference field="19" count="0" selected="0"/>
        </references>
      </pivotArea>
    </format>
    <format dxfId="19">
      <pivotArea dataOnly="0" labelOnly="1" outline="0" fieldPosition="0">
        <references count="4">
          <reference field="0" count="1" selected="0">
            <x v="27"/>
          </reference>
          <reference field="13" count="1" selected="0">
            <x v="19"/>
          </reference>
          <reference field="18" count="1">
            <x v="1"/>
          </reference>
          <reference field="19" count="0" selected="0"/>
        </references>
      </pivotArea>
    </format>
    <format dxfId="18">
      <pivotArea dataOnly="0" labelOnly="1" outline="0" fieldPosition="0">
        <references count="4">
          <reference field="0" count="1" selected="0">
            <x v="32"/>
          </reference>
          <reference field="13" count="1" selected="0">
            <x v="20"/>
          </reference>
          <reference field="18" count="1">
            <x v="1"/>
          </reference>
          <reference field="19" count="0" selected="0"/>
        </references>
      </pivotArea>
    </format>
    <format dxfId="17">
      <pivotArea dataOnly="0" labelOnly="1" outline="0" fieldPosition="0">
        <references count="4">
          <reference field="0" count="1" selected="0">
            <x v="33"/>
          </reference>
          <reference field="13" count="1" selected="0">
            <x v="7"/>
          </reference>
          <reference field="18" count="1">
            <x v="1"/>
          </reference>
          <reference field="19" count="0" selected="0"/>
        </references>
      </pivotArea>
    </format>
    <format dxfId="16">
      <pivotArea dataOnly="0" labelOnly="1" outline="0" fieldPosition="0">
        <references count="4">
          <reference field="0" count="1" selected="0">
            <x v="34"/>
          </reference>
          <reference field="13" count="1" selected="0">
            <x v="7"/>
          </reference>
          <reference field="18" count="1">
            <x v="0"/>
          </reference>
          <reference field="19" count="0" selected="0"/>
        </references>
      </pivotArea>
    </format>
    <format dxfId="15">
      <pivotArea dataOnly="0" labelOnly="1" outline="0" fieldPosition="0">
        <references count="4">
          <reference field="0" count="1" selected="0">
            <x v="35"/>
          </reference>
          <reference field="13" count="1" selected="0">
            <x v="12"/>
          </reference>
          <reference field="18" count="1">
            <x v="1"/>
          </reference>
          <reference field="19" count="0" selected="0"/>
        </references>
      </pivotArea>
    </format>
    <format dxfId="14">
      <pivotArea dataOnly="0" labelOnly="1" outline="0" fieldPosition="0">
        <references count="4">
          <reference field="0" count="1" selected="0">
            <x v="36"/>
          </reference>
          <reference field="13" count="1" selected="0">
            <x v="3"/>
          </reference>
          <reference field="18" count="1">
            <x v="1"/>
          </reference>
          <reference field="19" count="0" selected="0"/>
        </references>
      </pivotArea>
    </format>
    <format dxfId="13">
      <pivotArea dataOnly="0" labelOnly="1" outline="0" fieldPosition="0">
        <references count="4">
          <reference field="0" count="1" selected="0">
            <x v="39"/>
          </reference>
          <reference field="13" count="1" selected="0">
            <x v="25"/>
          </reference>
          <reference field="18" count="1">
            <x v="1"/>
          </reference>
          <reference field="19" count="0" selected="0"/>
        </references>
      </pivotArea>
    </format>
    <format dxfId="12">
      <pivotArea dataOnly="0" labelOnly="1" outline="0" fieldPosition="0">
        <references count="4">
          <reference field="0" count="1" selected="0">
            <x v="40"/>
          </reference>
          <reference field="13" count="1" selected="0">
            <x v="2"/>
          </reference>
          <reference field="18" count="1">
            <x v="1"/>
          </reference>
          <reference field="19" count="0" selected="0"/>
        </references>
      </pivotArea>
    </format>
    <format dxfId="11">
      <pivotArea dataOnly="0" labelOnly="1" outline="0" fieldPosition="0">
        <references count="4">
          <reference field="0" count="1" selected="0">
            <x v="41"/>
          </reference>
          <reference field="13" count="1" selected="0">
            <x v="18"/>
          </reference>
          <reference field="18" count="1">
            <x v="1"/>
          </reference>
          <reference field="19" count="0" selected="0"/>
        </references>
      </pivotArea>
    </format>
    <format dxfId="10">
      <pivotArea dataOnly="0" labelOnly="1" outline="0" fieldPosition="0">
        <references count="4">
          <reference field="0" count="1" selected="0">
            <x v="42"/>
          </reference>
          <reference field="13" count="1" selected="0">
            <x v="14"/>
          </reference>
          <reference field="18" count="1">
            <x v="1"/>
          </reference>
          <reference field="19" count="0" selected="0"/>
        </references>
      </pivotArea>
    </format>
    <format dxfId="9">
      <pivotArea dataOnly="0" labelOnly="1" outline="0" fieldPosition="0">
        <references count="4">
          <reference field="0" count="1" selected="0">
            <x v="43"/>
          </reference>
          <reference field="13" count="1" selected="0">
            <x v="18"/>
          </reference>
          <reference field="18" count="1">
            <x v="1"/>
          </reference>
          <reference field="19" count="0" selected="0"/>
        </references>
      </pivotArea>
    </format>
    <format dxfId="8">
      <pivotArea dataOnly="0" labelOnly="1" outline="0" fieldPosition="0">
        <references count="4">
          <reference field="0" count="1" selected="0">
            <x v="44"/>
          </reference>
          <reference field="13" count="1" selected="0">
            <x v="8"/>
          </reference>
          <reference field="18" count="1">
            <x v="1"/>
          </reference>
          <reference field="19" count="0" selected="0"/>
        </references>
      </pivotArea>
    </format>
    <format dxfId="7">
      <pivotArea dataOnly="0" labelOnly="1" outline="0" fieldPosition="0">
        <references count="4">
          <reference field="0" count="1" selected="0">
            <x v="45"/>
          </reference>
          <reference field="13" count="1" selected="0">
            <x v="23"/>
          </reference>
          <reference field="18" count="1">
            <x v="1"/>
          </reference>
          <reference field="19" count="0" selected="0"/>
        </references>
      </pivotArea>
    </format>
    <format dxfId="6">
      <pivotArea dataOnly="0" labelOnly="1" outline="0" fieldPosition="0">
        <references count="4">
          <reference field="0" count="1" selected="0">
            <x v="46"/>
          </reference>
          <reference field="13" count="1" selected="0">
            <x v="23"/>
          </reference>
          <reference field="18" count="1">
            <x v="1"/>
          </reference>
          <reference field="19" count="0" selected="0"/>
        </references>
      </pivotArea>
    </format>
    <format dxfId="5">
      <pivotArea dataOnly="0" labelOnly="1" outline="0" fieldPosition="0">
        <references count="4">
          <reference field="0" count="1" selected="0">
            <x v="47"/>
          </reference>
          <reference field="13" count="1" selected="0">
            <x v="23"/>
          </reference>
          <reference field="18" count="1">
            <x v="0"/>
          </reference>
          <reference field="19" count="0" selected="0"/>
        </references>
      </pivotArea>
    </format>
    <format dxfId="4">
      <pivotArea dataOnly="0" labelOnly="1" outline="0" fieldPosition="0">
        <references count="4">
          <reference field="0" count="1" selected="0">
            <x v="48"/>
          </reference>
          <reference field="13" count="1" selected="0">
            <x v="6"/>
          </reference>
          <reference field="18" count="1">
            <x v="0"/>
          </reference>
          <reference field="19" count="0" selected="0"/>
        </references>
      </pivotArea>
    </format>
    <format dxfId="3">
      <pivotArea dataOnly="0" labelOnly="1" outline="0" fieldPosition="0">
        <references count="4">
          <reference field="0" count="1" selected="0">
            <x v="49"/>
          </reference>
          <reference field="13" count="1" selected="0">
            <x v="23"/>
          </reference>
          <reference field="18" count="1">
            <x v="0"/>
          </reference>
          <reference field="19" count="0" selected="0"/>
        </references>
      </pivotArea>
    </format>
    <format dxfId="2">
      <pivotArea dataOnly="0" labelOnly="1" outline="0" fieldPosition="0">
        <references count="4">
          <reference field="0" count="1" selected="0">
            <x v="52"/>
          </reference>
          <reference field="13" count="1" selected="0">
            <x v="21"/>
          </reference>
          <reference field="18" count="1">
            <x v="1"/>
          </reference>
          <reference field="19" count="0" selected="0"/>
        </references>
      </pivotArea>
    </format>
    <format dxfId="1">
      <pivotArea dataOnly="0" labelOnly="1" outline="0" fieldPosition="0">
        <references count="4">
          <reference field="0" count="1" selected="0">
            <x v="53"/>
          </reference>
          <reference field="13" count="1" selected="0">
            <x v="11"/>
          </reference>
          <reference field="18" count="1">
            <x v="1"/>
          </reference>
          <reference field="19" count="0" selected="0"/>
        </references>
      </pivotArea>
    </format>
    <format dxfId="0">
      <pivotArea dataOnly="0" labelOnly="1" outline="0" fieldPosition="0">
        <references count="4">
          <reference field="0" count="1" selected="0">
            <x v="54"/>
          </reference>
          <reference field="13" count="1" selected="0">
            <x v="6"/>
          </reference>
          <reference field="18" count="1">
            <x v="1"/>
          </reference>
          <reference field="19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43"/>
  <sheetViews>
    <sheetView zoomScaleNormal="100" workbookViewId="0">
      <selection activeCell="B19" sqref="B19"/>
    </sheetView>
  </sheetViews>
  <sheetFormatPr defaultRowHeight="15" x14ac:dyDescent="0.25"/>
  <cols>
    <col min="1" max="1" width="67.85546875" style="58" customWidth="1"/>
    <col min="2" max="2" width="9.140625" style="59"/>
    <col min="3" max="3" width="6.7109375" style="58" customWidth="1"/>
    <col min="4" max="16384" width="9.140625" style="58"/>
  </cols>
  <sheetData>
    <row r="1" spans="1:11" x14ac:dyDescent="0.25">
      <c r="A1" t="s">
        <v>81</v>
      </c>
      <c r="B1" t="s">
        <v>251</v>
      </c>
      <c r="D1" s="140" t="s">
        <v>252</v>
      </c>
      <c r="E1" s="140"/>
      <c r="F1" s="140"/>
      <c r="G1" s="140"/>
      <c r="H1" s="140"/>
      <c r="I1" s="140"/>
      <c r="J1" s="140"/>
      <c r="K1" s="140"/>
    </row>
    <row r="2" spans="1:11" x14ac:dyDescent="0.25">
      <c r="A2" t="s">
        <v>28</v>
      </c>
      <c r="B2" t="s">
        <v>253</v>
      </c>
      <c r="D2" s="61" t="s">
        <v>254</v>
      </c>
      <c r="E2" s="61"/>
      <c r="F2" s="61"/>
      <c r="G2" s="61"/>
      <c r="H2" s="61"/>
      <c r="I2" s="61"/>
      <c r="J2" s="61"/>
      <c r="K2" s="61"/>
    </row>
    <row r="3" spans="1:11" x14ac:dyDescent="0.25">
      <c r="A3" t="s">
        <v>60</v>
      </c>
      <c r="B3" t="s">
        <v>255</v>
      </c>
      <c r="D3" s="63" t="str">
        <f>IF(A3=""," ",VLOOKUP(A3,'Профилиращ лист'!A:B,2,FALSE))</f>
        <v>СПЕ</v>
      </c>
      <c r="E3" s="61"/>
      <c r="F3" s="61"/>
      <c r="G3" s="61"/>
      <c r="H3" s="61"/>
      <c r="I3" s="61"/>
      <c r="J3" s="61"/>
      <c r="K3" s="61"/>
    </row>
    <row r="4" spans="1:11" x14ac:dyDescent="0.25">
      <c r="A4" t="s">
        <v>256</v>
      </c>
      <c r="B4" t="s">
        <v>255</v>
      </c>
    </row>
    <row r="5" spans="1:11" x14ac:dyDescent="0.25">
      <c r="A5" t="s">
        <v>257</v>
      </c>
      <c r="B5" t="s">
        <v>255</v>
      </c>
    </row>
    <row r="6" spans="1:11" x14ac:dyDescent="0.25">
      <c r="A6" t="s">
        <v>258</v>
      </c>
      <c r="B6" t="s">
        <v>255</v>
      </c>
    </row>
    <row r="7" spans="1:11" x14ac:dyDescent="0.25">
      <c r="A7" t="s">
        <v>259</v>
      </c>
      <c r="B7" t="s">
        <v>255</v>
      </c>
    </row>
    <row r="8" spans="1:11" x14ac:dyDescent="0.25">
      <c r="A8" t="s">
        <v>61</v>
      </c>
      <c r="B8" t="s">
        <v>255</v>
      </c>
    </row>
    <row r="9" spans="1:11" x14ac:dyDescent="0.25">
      <c r="A9" t="s">
        <v>260</v>
      </c>
      <c r="B9" t="s">
        <v>255</v>
      </c>
    </row>
    <row r="10" spans="1:11" x14ac:dyDescent="0.25">
      <c r="A10" t="s">
        <v>261</v>
      </c>
      <c r="B10" t="s">
        <v>255</v>
      </c>
    </row>
    <row r="11" spans="1:11" x14ac:dyDescent="0.25">
      <c r="A11" t="s">
        <v>69</v>
      </c>
      <c r="B11" t="s">
        <v>255</v>
      </c>
    </row>
    <row r="12" spans="1:11" x14ac:dyDescent="0.25">
      <c r="A12" t="s">
        <v>262</v>
      </c>
      <c r="B12" t="s">
        <v>255</v>
      </c>
    </row>
    <row r="13" spans="1:11" x14ac:dyDescent="0.25">
      <c r="A13" t="s">
        <v>15</v>
      </c>
      <c r="B13" t="s">
        <v>263</v>
      </c>
    </row>
    <row r="14" spans="1:11" x14ac:dyDescent="0.25">
      <c r="A14" t="s">
        <v>52</v>
      </c>
      <c r="B14" t="s">
        <v>263</v>
      </c>
    </row>
    <row r="15" spans="1:11" x14ac:dyDescent="0.25">
      <c r="A15" t="s">
        <v>264</v>
      </c>
      <c r="B15" t="s">
        <v>255</v>
      </c>
    </row>
    <row r="16" spans="1:11" x14ac:dyDescent="0.25">
      <c r="A16" t="s">
        <v>39</v>
      </c>
      <c r="B16" t="s">
        <v>255</v>
      </c>
    </row>
    <row r="17" spans="1:2" x14ac:dyDescent="0.25">
      <c r="A17" t="s">
        <v>39</v>
      </c>
      <c r="B17" t="s">
        <v>265</v>
      </c>
    </row>
    <row r="18" spans="1:2" x14ac:dyDescent="0.25">
      <c r="A18" t="s">
        <v>266</v>
      </c>
      <c r="B18" t="s">
        <v>265</v>
      </c>
    </row>
    <row r="19" spans="1:2" x14ac:dyDescent="0.25">
      <c r="A19" t="s">
        <v>267</v>
      </c>
      <c r="B19" t="s">
        <v>265</v>
      </c>
    </row>
    <row r="20" spans="1:2" x14ac:dyDescent="0.25">
      <c r="A20" t="s">
        <v>268</v>
      </c>
      <c r="B20" t="s">
        <v>253</v>
      </c>
    </row>
    <row r="21" spans="1:2" x14ac:dyDescent="0.25">
      <c r="A21" t="s">
        <v>269</v>
      </c>
      <c r="B21" t="s">
        <v>253</v>
      </c>
    </row>
    <row r="22" spans="1:2" x14ac:dyDescent="0.25">
      <c r="A22" t="s">
        <v>82</v>
      </c>
      <c r="B22" t="s">
        <v>453</v>
      </c>
    </row>
    <row r="23" spans="1:2" x14ac:dyDescent="0.25">
      <c r="A23" t="s">
        <v>270</v>
      </c>
      <c r="B23" t="s">
        <v>255</v>
      </c>
    </row>
    <row r="24" spans="1:2" x14ac:dyDescent="0.25">
      <c r="A24" t="s">
        <v>271</v>
      </c>
      <c r="B24" t="s">
        <v>255</v>
      </c>
    </row>
    <row r="25" spans="1:2" x14ac:dyDescent="0.25">
      <c r="A25" t="s">
        <v>31</v>
      </c>
      <c r="B25" t="s">
        <v>255</v>
      </c>
    </row>
    <row r="26" spans="1:2" x14ac:dyDescent="0.25">
      <c r="A26" t="s">
        <v>62</v>
      </c>
      <c r="B26" t="s">
        <v>255</v>
      </c>
    </row>
    <row r="27" spans="1:2" x14ac:dyDescent="0.25">
      <c r="A27" t="s">
        <v>47</v>
      </c>
      <c r="B27" t="s">
        <v>255</v>
      </c>
    </row>
    <row r="28" spans="1:2" x14ac:dyDescent="0.25">
      <c r="A28" t="s">
        <v>23</v>
      </c>
      <c r="B28" t="s">
        <v>255</v>
      </c>
    </row>
    <row r="29" spans="1:2" x14ac:dyDescent="0.25">
      <c r="A29" t="s">
        <v>11</v>
      </c>
      <c r="B29" t="s">
        <v>255</v>
      </c>
    </row>
    <row r="30" spans="1:2" x14ac:dyDescent="0.25">
      <c r="A30" t="s">
        <v>11</v>
      </c>
      <c r="B30" t="s">
        <v>272</v>
      </c>
    </row>
    <row r="31" spans="1:2" x14ac:dyDescent="0.25">
      <c r="A31" t="s">
        <v>273</v>
      </c>
      <c r="B31" t="s">
        <v>255</v>
      </c>
    </row>
    <row r="32" spans="1:2" x14ac:dyDescent="0.25">
      <c r="A32" t="s">
        <v>274</v>
      </c>
      <c r="B32" t="s">
        <v>265</v>
      </c>
    </row>
    <row r="33" spans="1:2" x14ac:dyDescent="0.25">
      <c r="A33" t="s">
        <v>275</v>
      </c>
      <c r="B33" t="s">
        <v>265</v>
      </c>
    </row>
    <row r="34" spans="1:2" x14ac:dyDescent="0.25">
      <c r="A34" t="s">
        <v>276</v>
      </c>
      <c r="B34" t="s">
        <v>255</v>
      </c>
    </row>
    <row r="35" spans="1:2" x14ac:dyDescent="0.25">
      <c r="A35" t="s">
        <v>277</v>
      </c>
      <c r="B35" t="s">
        <v>263</v>
      </c>
    </row>
    <row r="36" spans="1:2" x14ac:dyDescent="0.25">
      <c r="A36" t="s">
        <v>278</v>
      </c>
      <c r="B36" t="s">
        <v>255</v>
      </c>
    </row>
    <row r="37" spans="1:2" x14ac:dyDescent="0.25">
      <c r="A37" t="s">
        <v>279</v>
      </c>
      <c r="B37" t="s">
        <v>255</v>
      </c>
    </row>
    <row r="38" spans="1:2" x14ac:dyDescent="0.25">
      <c r="A38" t="s">
        <v>280</v>
      </c>
      <c r="B38" t="s">
        <v>255</v>
      </c>
    </row>
    <row r="39" spans="1:2" x14ac:dyDescent="0.25">
      <c r="A39" t="s">
        <v>281</v>
      </c>
      <c r="B39" t="s">
        <v>255</v>
      </c>
    </row>
    <row r="40" spans="1:2" x14ac:dyDescent="0.25">
      <c r="A40" t="s">
        <v>282</v>
      </c>
      <c r="B40" t="s">
        <v>255</v>
      </c>
    </row>
    <row r="41" spans="1:2" x14ac:dyDescent="0.25">
      <c r="A41" t="s">
        <v>283</v>
      </c>
      <c r="B41" t="s">
        <v>255</v>
      </c>
    </row>
    <row r="42" spans="1:2" x14ac:dyDescent="0.25">
      <c r="A42" t="s">
        <v>284</v>
      </c>
      <c r="B42" t="s">
        <v>255</v>
      </c>
    </row>
    <row r="43" spans="1:2" x14ac:dyDescent="0.25">
      <c r="A43" t="s">
        <v>285</v>
      </c>
      <c r="B43" t="s">
        <v>255</v>
      </c>
    </row>
    <row r="44" spans="1:2" x14ac:dyDescent="0.25">
      <c r="A44" t="s">
        <v>286</v>
      </c>
      <c r="B44" t="s">
        <v>272</v>
      </c>
    </row>
    <row r="45" spans="1:2" x14ac:dyDescent="0.25">
      <c r="A45" t="s">
        <v>17</v>
      </c>
      <c r="B45" t="s">
        <v>272</v>
      </c>
    </row>
    <row r="46" spans="1:2" x14ac:dyDescent="0.25">
      <c r="A46" t="s">
        <v>287</v>
      </c>
      <c r="B46" t="s">
        <v>272</v>
      </c>
    </row>
    <row r="47" spans="1:2" x14ac:dyDescent="0.25">
      <c r="A47" t="s">
        <v>288</v>
      </c>
      <c r="B47" t="s">
        <v>272</v>
      </c>
    </row>
    <row r="48" spans="1:2" x14ac:dyDescent="0.25">
      <c r="A48" t="s">
        <v>289</v>
      </c>
      <c r="B48" t="s">
        <v>272</v>
      </c>
    </row>
    <row r="49" spans="1:2" x14ac:dyDescent="0.25">
      <c r="A49" t="s">
        <v>290</v>
      </c>
      <c r="B49" t="s">
        <v>272</v>
      </c>
    </row>
    <row r="50" spans="1:2" x14ac:dyDescent="0.25">
      <c r="A50" t="s">
        <v>291</v>
      </c>
      <c r="B50" t="s">
        <v>272</v>
      </c>
    </row>
    <row r="51" spans="1:2" x14ac:dyDescent="0.25">
      <c r="A51" t="s">
        <v>292</v>
      </c>
      <c r="B51" t="s">
        <v>272</v>
      </c>
    </row>
    <row r="52" spans="1:2" x14ac:dyDescent="0.25">
      <c r="A52" t="s">
        <v>293</v>
      </c>
      <c r="B52" t="s">
        <v>272</v>
      </c>
    </row>
    <row r="53" spans="1:2" x14ac:dyDescent="0.25">
      <c r="A53" t="s">
        <v>294</v>
      </c>
      <c r="B53" t="s">
        <v>272</v>
      </c>
    </row>
    <row r="54" spans="1:2" x14ac:dyDescent="0.25">
      <c r="A54" t="s">
        <v>32</v>
      </c>
      <c r="B54" t="s">
        <v>272</v>
      </c>
    </row>
    <row r="55" spans="1:2" x14ac:dyDescent="0.25">
      <c r="A55" t="s">
        <v>295</v>
      </c>
      <c r="B55" t="s">
        <v>272</v>
      </c>
    </row>
    <row r="56" spans="1:2" x14ac:dyDescent="0.25">
      <c r="A56" t="s">
        <v>296</v>
      </c>
      <c r="B56" t="s">
        <v>272</v>
      </c>
    </row>
    <row r="57" spans="1:2" x14ac:dyDescent="0.25">
      <c r="A57" t="s">
        <v>297</v>
      </c>
      <c r="B57" t="s">
        <v>272</v>
      </c>
    </row>
    <row r="58" spans="1:2" x14ac:dyDescent="0.25">
      <c r="A58" t="s">
        <v>298</v>
      </c>
      <c r="B58" t="s">
        <v>272</v>
      </c>
    </row>
    <row r="59" spans="1:2" x14ac:dyDescent="0.25">
      <c r="A59" t="s">
        <v>299</v>
      </c>
      <c r="B59" t="s">
        <v>272</v>
      </c>
    </row>
    <row r="60" spans="1:2" x14ac:dyDescent="0.25">
      <c r="A60" t="s">
        <v>300</v>
      </c>
      <c r="B60" t="s">
        <v>272</v>
      </c>
    </row>
    <row r="61" spans="1:2" x14ac:dyDescent="0.25">
      <c r="A61" t="s">
        <v>301</v>
      </c>
      <c r="B61" t="s">
        <v>272</v>
      </c>
    </row>
    <row r="62" spans="1:2" x14ac:dyDescent="0.25">
      <c r="A62" t="s">
        <v>58</v>
      </c>
      <c r="B62" t="s">
        <v>272</v>
      </c>
    </row>
    <row r="63" spans="1:2" x14ac:dyDescent="0.25">
      <c r="A63" t="s">
        <v>302</v>
      </c>
      <c r="B63" t="s">
        <v>272</v>
      </c>
    </row>
    <row r="64" spans="1:2" x14ac:dyDescent="0.25">
      <c r="A64" t="s">
        <v>196</v>
      </c>
      <c r="B64" t="s">
        <v>272</v>
      </c>
    </row>
    <row r="65" spans="1:2" x14ac:dyDescent="0.25">
      <c r="A65" t="s">
        <v>303</v>
      </c>
      <c r="B65" t="s">
        <v>272</v>
      </c>
    </row>
    <row r="66" spans="1:2" x14ac:dyDescent="0.25">
      <c r="A66" t="s">
        <v>304</v>
      </c>
      <c r="B66" t="s">
        <v>272</v>
      </c>
    </row>
    <row r="67" spans="1:2" x14ac:dyDescent="0.25">
      <c r="A67" t="s">
        <v>305</v>
      </c>
      <c r="B67" t="s">
        <v>272</v>
      </c>
    </row>
    <row r="68" spans="1:2" x14ac:dyDescent="0.25">
      <c r="A68" t="s">
        <v>306</v>
      </c>
      <c r="B68" t="s">
        <v>272</v>
      </c>
    </row>
    <row r="69" spans="1:2" x14ac:dyDescent="0.25">
      <c r="A69" t="s">
        <v>307</v>
      </c>
      <c r="B69" t="s">
        <v>272</v>
      </c>
    </row>
    <row r="70" spans="1:2" x14ac:dyDescent="0.25">
      <c r="A70" t="s">
        <v>308</v>
      </c>
      <c r="B70" t="s">
        <v>272</v>
      </c>
    </row>
    <row r="71" spans="1:2" x14ac:dyDescent="0.25">
      <c r="A71" t="s">
        <v>309</v>
      </c>
      <c r="B71" t="s">
        <v>272</v>
      </c>
    </row>
    <row r="72" spans="1:2" x14ac:dyDescent="0.25">
      <c r="A72" t="s">
        <v>310</v>
      </c>
      <c r="B72" t="s">
        <v>255</v>
      </c>
    </row>
    <row r="73" spans="1:2" x14ac:dyDescent="0.25">
      <c r="A73" t="s">
        <v>311</v>
      </c>
      <c r="B73" t="s">
        <v>255</v>
      </c>
    </row>
    <row r="74" spans="1:2" x14ac:dyDescent="0.25">
      <c r="A74" t="s">
        <v>312</v>
      </c>
      <c r="B74" t="s">
        <v>255</v>
      </c>
    </row>
    <row r="75" spans="1:2" x14ac:dyDescent="0.25">
      <c r="A75" t="s">
        <v>313</v>
      </c>
      <c r="B75" t="s">
        <v>255</v>
      </c>
    </row>
    <row r="76" spans="1:2" x14ac:dyDescent="0.25">
      <c r="A76" t="s">
        <v>314</v>
      </c>
      <c r="B76" t="s">
        <v>255</v>
      </c>
    </row>
    <row r="77" spans="1:2" x14ac:dyDescent="0.25">
      <c r="A77" t="s">
        <v>315</v>
      </c>
      <c r="B77" t="s">
        <v>255</v>
      </c>
    </row>
    <row r="78" spans="1:2" x14ac:dyDescent="0.25">
      <c r="A78" t="s">
        <v>48</v>
      </c>
      <c r="B78" t="s">
        <v>272</v>
      </c>
    </row>
    <row r="79" spans="1:2" x14ac:dyDescent="0.25">
      <c r="A79" t="s">
        <v>49</v>
      </c>
      <c r="B79" t="s">
        <v>265</v>
      </c>
    </row>
    <row r="80" spans="1:2" x14ac:dyDescent="0.25">
      <c r="A80" t="s">
        <v>49</v>
      </c>
      <c r="B80" t="s">
        <v>272</v>
      </c>
    </row>
    <row r="81" spans="1:2" x14ac:dyDescent="0.25">
      <c r="A81" t="s">
        <v>49</v>
      </c>
      <c r="B81" t="s">
        <v>255</v>
      </c>
    </row>
    <row r="82" spans="1:2" x14ac:dyDescent="0.25">
      <c r="A82" t="s">
        <v>316</v>
      </c>
      <c r="B82" t="s">
        <v>255</v>
      </c>
    </row>
    <row r="83" spans="1:2" x14ac:dyDescent="0.25">
      <c r="A83" t="s">
        <v>13</v>
      </c>
      <c r="B83" t="s">
        <v>265</v>
      </c>
    </row>
    <row r="84" spans="1:2" x14ac:dyDescent="0.25">
      <c r="A84" t="s">
        <v>13</v>
      </c>
      <c r="B84" t="s">
        <v>255</v>
      </c>
    </row>
    <row r="85" spans="1:2" x14ac:dyDescent="0.25">
      <c r="A85" t="s">
        <v>317</v>
      </c>
      <c r="B85" t="s">
        <v>255</v>
      </c>
    </row>
    <row r="86" spans="1:2" x14ac:dyDescent="0.25">
      <c r="A86" t="s">
        <v>318</v>
      </c>
      <c r="B86" t="s">
        <v>265</v>
      </c>
    </row>
    <row r="87" spans="1:2" x14ac:dyDescent="0.25">
      <c r="A87" t="s">
        <v>40</v>
      </c>
      <c r="B87" t="s">
        <v>255</v>
      </c>
    </row>
    <row r="88" spans="1:2" x14ac:dyDescent="0.25">
      <c r="A88" t="s">
        <v>319</v>
      </c>
      <c r="B88" t="s">
        <v>255</v>
      </c>
    </row>
    <row r="89" spans="1:2" x14ac:dyDescent="0.25">
      <c r="A89" t="s">
        <v>320</v>
      </c>
      <c r="B89" t="s">
        <v>255</v>
      </c>
    </row>
    <row r="90" spans="1:2" x14ac:dyDescent="0.25">
      <c r="A90" t="s">
        <v>321</v>
      </c>
      <c r="B90" t="s">
        <v>255</v>
      </c>
    </row>
    <row r="91" spans="1:2" x14ac:dyDescent="0.25">
      <c r="A91" t="s">
        <v>321</v>
      </c>
      <c r="B91" t="s">
        <v>265</v>
      </c>
    </row>
    <row r="92" spans="1:2" x14ac:dyDescent="0.25">
      <c r="A92" t="s">
        <v>322</v>
      </c>
      <c r="B92" t="s">
        <v>255</v>
      </c>
    </row>
    <row r="93" spans="1:2" x14ac:dyDescent="0.25">
      <c r="A93" t="s">
        <v>323</v>
      </c>
      <c r="B93" t="s">
        <v>255</v>
      </c>
    </row>
    <row r="94" spans="1:2" x14ac:dyDescent="0.25">
      <c r="A94" t="s">
        <v>324</v>
      </c>
      <c r="B94" t="s">
        <v>255</v>
      </c>
    </row>
    <row r="95" spans="1:2" x14ac:dyDescent="0.25">
      <c r="A95" t="s">
        <v>325</v>
      </c>
      <c r="B95" t="s">
        <v>255</v>
      </c>
    </row>
    <row r="96" spans="1:2" x14ac:dyDescent="0.25">
      <c r="A96" t="s">
        <v>326</v>
      </c>
      <c r="B96" t="s">
        <v>263</v>
      </c>
    </row>
    <row r="97" spans="1:2" x14ac:dyDescent="0.25">
      <c r="A97" t="s">
        <v>24</v>
      </c>
      <c r="B97" t="s">
        <v>265</v>
      </c>
    </row>
    <row r="98" spans="1:2" x14ac:dyDescent="0.25">
      <c r="A98" t="s">
        <v>327</v>
      </c>
      <c r="B98" t="s">
        <v>255</v>
      </c>
    </row>
    <row r="99" spans="1:2" x14ac:dyDescent="0.25">
      <c r="A99" t="s">
        <v>328</v>
      </c>
      <c r="B99" t="s">
        <v>255</v>
      </c>
    </row>
    <row r="100" spans="1:2" x14ac:dyDescent="0.25">
      <c r="A100" t="s">
        <v>329</v>
      </c>
      <c r="B100" t="s">
        <v>265</v>
      </c>
    </row>
    <row r="101" spans="1:2" x14ac:dyDescent="0.25">
      <c r="A101" t="s">
        <v>330</v>
      </c>
      <c r="B101" t="s">
        <v>255</v>
      </c>
    </row>
    <row r="102" spans="1:2" x14ac:dyDescent="0.25">
      <c r="A102" t="s">
        <v>331</v>
      </c>
      <c r="B102" t="s">
        <v>255</v>
      </c>
    </row>
    <row r="103" spans="1:2" x14ac:dyDescent="0.25">
      <c r="A103" t="s">
        <v>332</v>
      </c>
      <c r="B103" t="s">
        <v>255</v>
      </c>
    </row>
    <row r="104" spans="1:2" x14ac:dyDescent="0.25">
      <c r="A104" t="s">
        <v>333</v>
      </c>
      <c r="B104" t="s">
        <v>265</v>
      </c>
    </row>
    <row r="105" spans="1:2" x14ac:dyDescent="0.25">
      <c r="A105" t="s">
        <v>334</v>
      </c>
      <c r="B105" t="s">
        <v>265</v>
      </c>
    </row>
    <row r="106" spans="1:2" x14ac:dyDescent="0.25">
      <c r="A106" t="s">
        <v>335</v>
      </c>
      <c r="B106" t="s">
        <v>265</v>
      </c>
    </row>
    <row r="107" spans="1:2" x14ac:dyDescent="0.25">
      <c r="A107" t="s">
        <v>336</v>
      </c>
      <c r="B107" t="s">
        <v>263</v>
      </c>
    </row>
    <row r="108" spans="1:2" x14ac:dyDescent="0.25">
      <c r="A108" t="s">
        <v>93</v>
      </c>
      <c r="B108" t="s">
        <v>253</v>
      </c>
    </row>
    <row r="109" spans="1:2" x14ac:dyDescent="0.25">
      <c r="A109" t="s">
        <v>337</v>
      </c>
      <c r="B109" t="s">
        <v>255</v>
      </c>
    </row>
    <row r="110" spans="1:2" x14ac:dyDescent="0.25">
      <c r="A110" t="s">
        <v>338</v>
      </c>
      <c r="B110" t="s">
        <v>255</v>
      </c>
    </row>
    <row r="111" spans="1:2" x14ac:dyDescent="0.25">
      <c r="A111" t="s">
        <v>339</v>
      </c>
      <c r="B111" t="s">
        <v>255</v>
      </c>
    </row>
    <row r="112" spans="1:2" x14ac:dyDescent="0.25">
      <c r="A112" t="s">
        <v>340</v>
      </c>
      <c r="B112" t="s">
        <v>255</v>
      </c>
    </row>
    <row r="113" spans="1:2" x14ac:dyDescent="0.25">
      <c r="A113" t="s">
        <v>341</v>
      </c>
      <c r="B113" t="s">
        <v>255</v>
      </c>
    </row>
    <row r="114" spans="1:2" x14ac:dyDescent="0.25">
      <c r="A114" t="s">
        <v>63</v>
      </c>
      <c r="B114" t="s">
        <v>253</v>
      </c>
    </row>
    <row r="115" spans="1:2" x14ac:dyDescent="0.25">
      <c r="A115" t="s">
        <v>65</v>
      </c>
      <c r="B115" t="s">
        <v>253</v>
      </c>
    </row>
    <row r="116" spans="1:2" x14ac:dyDescent="0.25">
      <c r="A116" t="s">
        <v>64</v>
      </c>
      <c r="B116" t="s">
        <v>253</v>
      </c>
    </row>
    <row r="117" spans="1:2" x14ac:dyDescent="0.25">
      <c r="A117" t="s">
        <v>342</v>
      </c>
      <c r="B117" t="s">
        <v>253</v>
      </c>
    </row>
    <row r="118" spans="1:2" x14ac:dyDescent="0.25">
      <c r="A118" t="s">
        <v>343</v>
      </c>
      <c r="B118" t="s">
        <v>253</v>
      </c>
    </row>
    <row r="119" spans="1:2" x14ac:dyDescent="0.25">
      <c r="A119" t="s">
        <v>344</v>
      </c>
      <c r="B119" t="s">
        <v>255</v>
      </c>
    </row>
    <row r="120" spans="1:2" x14ac:dyDescent="0.25">
      <c r="A120" t="s">
        <v>41</v>
      </c>
      <c r="B120" t="s">
        <v>255</v>
      </c>
    </row>
    <row r="121" spans="1:2" x14ac:dyDescent="0.25">
      <c r="A121" t="s">
        <v>345</v>
      </c>
      <c r="B121" t="s">
        <v>255</v>
      </c>
    </row>
    <row r="122" spans="1:2" x14ac:dyDescent="0.25">
      <c r="A122" t="s">
        <v>346</v>
      </c>
      <c r="B122" t="s">
        <v>255</v>
      </c>
    </row>
    <row r="123" spans="1:2" x14ac:dyDescent="0.25">
      <c r="A123" t="s">
        <v>347</v>
      </c>
      <c r="B123" t="s">
        <v>255</v>
      </c>
    </row>
    <row r="124" spans="1:2" x14ac:dyDescent="0.25">
      <c r="A124" t="s">
        <v>348</v>
      </c>
      <c r="B124" t="s">
        <v>255</v>
      </c>
    </row>
    <row r="125" spans="1:2" x14ac:dyDescent="0.25">
      <c r="A125" t="s">
        <v>349</v>
      </c>
      <c r="B125" t="s">
        <v>255</v>
      </c>
    </row>
    <row r="126" spans="1:2" x14ac:dyDescent="0.25">
      <c r="A126" t="s">
        <v>34</v>
      </c>
      <c r="B126" t="s">
        <v>253</v>
      </c>
    </row>
    <row r="127" spans="1:2" x14ac:dyDescent="0.25">
      <c r="A127" t="s">
        <v>34</v>
      </c>
      <c r="B127" t="s">
        <v>263</v>
      </c>
    </row>
    <row r="128" spans="1:2" x14ac:dyDescent="0.25">
      <c r="A128" t="s">
        <v>350</v>
      </c>
      <c r="B128" t="s">
        <v>263</v>
      </c>
    </row>
    <row r="129" spans="1:2" x14ac:dyDescent="0.25">
      <c r="A129" t="s">
        <v>351</v>
      </c>
      <c r="B129" t="s">
        <v>263</v>
      </c>
    </row>
    <row r="130" spans="1:2" x14ac:dyDescent="0.25">
      <c r="A130" t="s">
        <v>352</v>
      </c>
      <c r="B130" t="s">
        <v>263</v>
      </c>
    </row>
    <row r="131" spans="1:2" x14ac:dyDescent="0.25">
      <c r="A131" t="s">
        <v>353</v>
      </c>
      <c r="B131" t="s">
        <v>263</v>
      </c>
    </row>
    <row r="132" spans="1:2" x14ac:dyDescent="0.25">
      <c r="A132" t="s">
        <v>354</v>
      </c>
      <c r="B132" t="s">
        <v>263</v>
      </c>
    </row>
    <row r="133" spans="1:2" x14ac:dyDescent="0.25">
      <c r="A133" t="s">
        <v>355</v>
      </c>
      <c r="B133" t="s">
        <v>255</v>
      </c>
    </row>
    <row r="134" spans="1:2" x14ac:dyDescent="0.25">
      <c r="A134" t="s">
        <v>356</v>
      </c>
      <c r="B134" t="s">
        <v>253</v>
      </c>
    </row>
    <row r="135" spans="1:2" x14ac:dyDescent="0.25">
      <c r="A135" t="s">
        <v>357</v>
      </c>
      <c r="B135" t="s">
        <v>253</v>
      </c>
    </row>
    <row r="136" spans="1:2" x14ac:dyDescent="0.25">
      <c r="A136" t="s">
        <v>70</v>
      </c>
      <c r="B136" t="s">
        <v>253</v>
      </c>
    </row>
    <row r="137" spans="1:2" x14ac:dyDescent="0.25">
      <c r="A137" t="s">
        <v>71</v>
      </c>
      <c r="B137" t="s">
        <v>253</v>
      </c>
    </row>
    <row r="138" spans="1:2" x14ac:dyDescent="0.25">
      <c r="A138" t="s">
        <v>358</v>
      </c>
      <c r="B138" t="s">
        <v>253</v>
      </c>
    </row>
    <row r="139" spans="1:2" x14ac:dyDescent="0.25">
      <c r="A139" t="s">
        <v>35</v>
      </c>
      <c r="B139" t="s">
        <v>253</v>
      </c>
    </row>
    <row r="140" spans="1:2" x14ac:dyDescent="0.25">
      <c r="A140" t="s">
        <v>35</v>
      </c>
      <c r="B140" t="s">
        <v>255</v>
      </c>
    </row>
    <row r="141" spans="1:2" x14ac:dyDescent="0.25">
      <c r="A141" t="s">
        <v>359</v>
      </c>
      <c r="B141" t="s">
        <v>255</v>
      </c>
    </row>
    <row r="142" spans="1:2" x14ac:dyDescent="0.25">
      <c r="A142" t="s">
        <v>42</v>
      </c>
      <c r="B142" t="s">
        <v>265</v>
      </c>
    </row>
    <row r="143" spans="1:2" x14ac:dyDescent="0.25">
      <c r="A143" t="s">
        <v>122</v>
      </c>
      <c r="B143" t="s">
        <v>255</v>
      </c>
    </row>
    <row r="144" spans="1:2" x14ac:dyDescent="0.25">
      <c r="A144" t="s">
        <v>360</v>
      </c>
      <c r="B144" t="s">
        <v>255</v>
      </c>
    </row>
    <row r="145" spans="1:2" x14ac:dyDescent="0.25">
      <c r="A145" t="s">
        <v>360</v>
      </c>
      <c r="B145" t="s">
        <v>265</v>
      </c>
    </row>
    <row r="146" spans="1:2" x14ac:dyDescent="0.25">
      <c r="A146" t="s">
        <v>128</v>
      </c>
      <c r="B146" t="s">
        <v>265</v>
      </c>
    </row>
    <row r="147" spans="1:2" x14ac:dyDescent="0.25">
      <c r="A147" t="s">
        <v>361</v>
      </c>
      <c r="B147" t="s">
        <v>265</v>
      </c>
    </row>
    <row r="148" spans="1:2" x14ac:dyDescent="0.25">
      <c r="A148" t="s">
        <v>134</v>
      </c>
      <c r="B148" t="s">
        <v>265</v>
      </c>
    </row>
    <row r="149" spans="1:2" x14ac:dyDescent="0.25">
      <c r="A149" t="s">
        <v>134</v>
      </c>
      <c r="B149" t="s">
        <v>263</v>
      </c>
    </row>
    <row r="150" spans="1:2" x14ac:dyDescent="0.25">
      <c r="A150" t="s">
        <v>362</v>
      </c>
      <c r="B150" t="s">
        <v>265</v>
      </c>
    </row>
    <row r="151" spans="1:2" x14ac:dyDescent="0.25">
      <c r="A151" t="s">
        <v>116</v>
      </c>
      <c r="B151" t="s">
        <v>263</v>
      </c>
    </row>
    <row r="152" spans="1:2" x14ac:dyDescent="0.25">
      <c r="A152" t="s">
        <v>131</v>
      </c>
      <c r="B152" t="s">
        <v>263</v>
      </c>
    </row>
    <row r="153" spans="1:2" x14ac:dyDescent="0.25">
      <c r="A153" t="s">
        <v>131</v>
      </c>
      <c r="B153" t="s">
        <v>265</v>
      </c>
    </row>
    <row r="154" spans="1:2" x14ac:dyDescent="0.25">
      <c r="A154" t="s">
        <v>363</v>
      </c>
      <c r="B154" t="s">
        <v>265</v>
      </c>
    </row>
    <row r="155" spans="1:2" x14ac:dyDescent="0.25">
      <c r="A155" t="s">
        <v>364</v>
      </c>
      <c r="B155" t="s">
        <v>255</v>
      </c>
    </row>
    <row r="156" spans="1:2" x14ac:dyDescent="0.25">
      <c r="A156" t="s">
        <v>129</v>
      </c>
      <c r="B156" t="s">
        <v>265</v>
      </c>
    </row>
    <row r="157" spans="1:2" x14ac:dyDescent="0.25">
      <c r="A157" t="s">
        <v>129</v>
      </c>
      <c r="B157" t="s">
        <v>255</v>
      </c>
    </row>
    <row r="158" spans="1:2" x14ac:dyDescent="0.25">
      <c r="A158" t="s">
        <v>365</v>
      </c>
      <c r="B158" t="s">
        <v>263</v>
      </c>
    </row>
    <row r="159" spans="1:2" x14ac:dyDescent="0.25">
      <c r="A159" t="s">
        <v>50</v>
      </c>
      <c r="B159" t="s">
        <v>255</v>
      </c>
    </row>
    <row r="160" spans="1:2" x14ac:dyDescent="0.25">
      <c r="A160" t="s">
        <v>366</v>
      </c>
      <c r="B160" t="s">
        <v>265</v>
      </c>
    </row>
    <row r="161" spans="1:2" x14ac:dyDescent="0.25">
      <c r="A161" t="s">
        <v>367</v>
      </c>
      <c r="B161" t="s">
        <v>255</v>
      </c>
    </row>
    <row r="162" spans="1:2" x14ac:dyDescent="0.25">
      <c r="A162" t="s">
        <v>368</v>
      </c>
      <c r="B162" t="s">
        <v>255</v>
      </c>
    </row>
    <row r="163" spans="1:2" x14ac:dyDescent="0.25">
      <c r="A163" t="s">
        <v>369</v>
      </c>
      <c r="B163" t="s">
        <v>255</v>
      </c>
    </row>
    <row r="164" spans="1:2" x14ac:dyDescent="0.25">
      <c r="A164" t="s">
        <v>370</v>
      </c>
      <c r="B164" t="s">
        <v>255</v>
      </c>
    </row>
    <row r="165" spans="1:2" x14ac:dyDescent="0.25">
      <c r="A165" t="s">
        <v>16</v>
      </c>
      <c r="B165" t="s">
        <v>255</v>
      </c>
    </row>
    <row r="166" spans="1:2" x14ac:dyDescent="0.25">
      <c r="A166" t="s">
        <v>371</v>
      </c>
      <c r="B166" t="s">
        <v>255</v>
      </c>
    </row>
    <row r="167" spans="1:2" x14ac:dyDescent="0.25">
      <c r="A167" t="s">
        <v>372</v>
      </c>
      <c r="B167" t="s">
        <v>255</v>
      </c>
    </row>
    <row r="168" spans="1:2" x14ac:dyDescent="0.25">
      <c r="A168" t="s">
        <v>373</v>
      </c>
      <c r="B168" t="s">
        <v>255</v>
      </c>
    </row>
    <row r="169" spans="1:2" x14ac:dyDescent="0.25">
      <c r="A169" t="s">
        <v>374</v>
      </c>
      <c r="B169" t="s">
        <v>265</v>
      </c>
    </row>
    <row r="170" spans="1:2" x14ac:dyDescent="0.25">
      <c r="A170" t="s">
        <v>36</v>
      </c>
      <c r="B170" t="s">
        <v>255</v>
      </c>
    </row>
    <row r="171" spans="1:2" x14ac:dyDescent="0.25">
      <c r="A171" t="s">
        <v>43</v>
      </c>
      <c r="B171" t="s">
        <v>255</v>
      </c>
    </row>
    <row r="172" spans="1:2" x14ac:dyDescent="0.25">
      <c r="A172" t="s">
        <v>53</v>
      </c>
      <c r="B172" t="s">
        <v>255</v>
      </c>
    </row>
    <row r="173" spans="1:2" x14ac:dyDescent="0.25">
      <c r="A173" t="s">
        <v>73</v>
      </c>
      <c r="B173" t="s">
        <v>255</v>
      </c>
    </row>
    <row r="174" spans="1:2" x14ac:dyDescent="0.25">
      <c r="A174" t="s">
        <v>25</v>
      </c>
      <c r="B174" t="s">
        <v>255</v>
      </c>
    </row>
    <row r="175" spans="1:2" x14ac:dyDescent="0.25">
      <c r="A175" t="s">
        <v>375</v>
      </c>
      <c r="B175" t="s">
        <v>265</v>
      </c>
    </row>
    <row r="176" spans="1:2" x14ac:dyDescent="0.25">
      <c r="A176" t="s">
        <v>37</v>
      </c>
      <c r="B176" t="s">
        <v>255</v>
      </c>
    </row>
    <row r="177" spans="1:2" x14ac:dyDescent="0.25">
      <c r="A177" t="s">
        <v>44</v>
      </c>
      <c r="B177" t="s">
        <v>255</v>
      </c>
    </row>
    <row r="178" spans="1:2" x14ac:dyDescent="0.25">
      <c r="A178" t="s">
        <v>376</v>
      </c>
      <c r="B178" t="s">
        <v>265</v>
      </c>
    </row>
    <row r="179" spans="1:2" x14ac:dyDescent="0.25">
      <c r="A179" t="s">
        <v>54</v>
      </c>
      <c r="B179" t="s">
        <v>255</v>
      </c>
    </row>
    <row r="180" spans="1:2" x14ac:dyDescent="0.25">
      <c r="A180" t="s">
        <v>74</v>
      </c>
      <c r="B180" t="s">
        <v>255</v>
      </c>
    </row>
    <row r="181" spans="1:2" x14ac:dyDescent="0.25">
      <c r="A181" t="s">
        <v>26</v>
      </c>
      <c r="B181" t="s">
        <v>265</v>
      </c>
    </row>
    <row r="182" spans="1:2" x14ac:dyDescent="0.25">
      <c r="A182" t="s">
        <v>26</v>
      </c>
      <c r="B182" t="s">
        <v>255</v>
      </c>
    </row>
    <row r="183" spans="1:2" x14ac:dyDescent="0.25">
      <c r="A183" t="s">
        <v>377</v>
      </c>
      <c r="B183" t="s">
        <v>265</v>
      </c>
    </row>
    <row r="184" spans="1:2" x14ac:dyDescent="0.25">
      <c r="A184" t="s">
        <v>377</v>
      </c>
      <c r="B184" t="s">
        <v>255</v>
      </c>
    </row>
    <row r="185" spans="1:2" x14ac:dyDescent="0.25">
      <c r="A185" t="s">
        <v>378</v>
      </c>
      <c r="B185" t="s">
        <v>255</v>
      </c>
    </row>
    <row r="186" spans="1:2" x14ac:dyDescent="0.25">
      <c r="A186" t="s">
        <v>379</v>
      </c>
      <c r="B186" t="s">
        <v>255</v>
      </c>
    </row>
    <row r="187" spans="1:2" x14ac:dyDescent="0.25">
      <c r="A187" t="s">
        <v>380</v>
      </c>
      <c r="B187" t="s">
        <v>255</v>
      </c>
    </row>
    <row r="188" spans="1:2" x14ac:dyDescent="0.25">
      <c r="A188" t="s">
        <v>381</v>
      </c>
      <c r="B188" t="s">
        <v>255</v>
      </c>
    </row>
    <row r="189" spans="1:2" x14ac:dyDescent="0.25">
      <c r="A189" t="s">
        <v>123</v>
      </c>
      <c r="B189" t="s">
        <v>255</v>
      </c>
    </row>
    <row r="190" spans="1:2" x14ac:dyDescent="0.25">
      <c r="A190" t="s">
        <v>126</v>
      </c>
      <c r="B190" t="s">
        <v>255</v>
      </c>
    </row>
    <row r="191" spans="1:2" x14ac:dyDescent="0.25">
      <c r="A191" t="s">
        <v>126</v>
      </c>
      <c r="B191" t="s">
        <v>265</v>
      </c>
    </row>
    <row r="192" spans="1:2" x14ac:dyDescent="0.25">
      <c r="A192" t="s">
        <v>132</v>
      </c>
      <c r="B192" t="s">
        <v>265</v>
      </c>
    </row>
    <row r="193" spans="1:2" x14ac:dyDescent="0.25">
      <c r="A193" t="s">
        <v>132</v>
      </c>
      <c r="B193" t="s">
        <v>255</v>
      </c>
    </row>
    <row r="194" spans="1:2" x14ac:dyDescent="0.25">
      <c r="A194" t="s">
        <v>137</v>
      </c>
      <c r="B194" t="s">
        <v>255</v>
      </c>
    </row>
    <row r="195" spans="1:2" x14ac:dyDescent="0.25">
      <c r="A195" t="s">
        <v>120</v>
      </c>
      <c r="B195" t="s">
        <v>255</v>
      </c>
    </row>
    <row r="196" spans="1:2" x14ac:dyDescent="0.25">
      <c r="A196" t="s">
        <v>120</v>
      </c>
      <c r="B196" t="s">
        <v>253</v>
      </c>
    </row>
    <row r="197" spans="1:2" x14ac:dyDescent="0.25">
      <c r="A197" t="s">
        <v>382</v>
      </c>
      <c r="B197" t="s">
        <v>255</v>
      </c>
    </row>
    <row r="198" spans="1:2" x14ac:dyDescent="0.25">
      <c r="A198" t="s">
        <v>383</v>
      </c>
      <c r="B198" t="s">
        <v>255</v>
      </c>
    </row>
    <row r="199" spans="1:2" x14ac:dyDescent="0.25">
      <c r="A199" t="s">
        <v>384</v>
      </c>
      <c r="B199" t="s">
        <v>255</v>
      </c>
    </row>
    <row r="200" spans="1:2" x14ac:dyDescent="0.25">
      <c r="A200" t="s">
        <v>385</v>
      </c>
      <c r="B200" t="s">
        <v>255</v>
      </c>
    </row>
    <row r="201" spans="1:2" x14ac:dyDescent="0.25">
      <c r="A201" t="s">
        <v>386</v>
      </c>
      <c r="B201" t="s">
        <v>255</v>
      </c>
    </row>
    <row r="202" spans="1:2" x14ac:dyDescent="0.25">
      <c r="A202" t="s">
        <v>387</v>
      </c>
      <c r="B202" t="s">
        <v>255</v>
      </c>
    </row>
    <row r="203" spans="1:2" x14ac:dyDescent="0.25">
      <c r="A203" t="s">
        <v>388</v>
      </c>
      <c r="B203" t="s">
        <v>255</v>
      </c>
    </row>
    <row r="204" spans="1:2" x14ac:dyDescent="0.25">
      <c r="A204" t="s">
        <v>389</v>
      </c>
      <c r="B204" t="s">
        <v>255</v>
      </c>
    </row>
    <row r="205" spans="1:2" x14ac:dyDescent="0.25">
      <c r="A205" t="s">
        <v>390</v>
      </c>
      <c r="B205" t="s">
        <v>255</v>
      </c>
    </row>
    <row r="206" spans="1:2" x14ac:dyDescent="0.25">
      <c r="A206" t="s">
        <v>391</v>
      </c>
      <c r="B206" t="s">
        <v>255</v>
      </c>
    </row>
    <row r="207" spans="1:2" x14ac:dyDescent="0.25">
      <c r="A207" t="s">
        <v>392</v>
      </c>
      <c r="B207" t="s">
        <v>255</v>
      </c>
    </row>
    <row r="208" spans="1:2" x14ac:dyDescent="0.25">
      <c r="A208" t="s">
        <v>393</v>
      </c>
      <c r="B208" t="s">
        <v>255</v>
      </c>
    </row>
    <row r="209" spans="1:2" x14ac:dyDescent="0.25">
      <c r="A209" t="s">
        <v>394</v>
      </c>
      <c r="B209" t="s">
        <v>255</v>
      </c>
    </row>
    <row r="210" spans="1:2" x14ac:dyDescent="0.25">
      <c r="A210" t="s">
        <v>395</v>
      </c>
      <c r="B210" t="s">
        <v>255</v>
      </c>
    </row>
    <row r="211" spans="1:2" x14ac:dyDescent="0.25">
      <c r="A211" t="s">
        <v>396</v>
      </c>
      <c r="B211" t="s">
        <v>255</v>
      </c>
    </row>
    <row r="212" spans="1:2" x14ac:dyDescent="0.25">
      <c r="A212" t="s">
        <v>397</v>
      </c>
      <c r="B212" t="s">
        <v>255</v>
      </c>
    </row>
    <row r="213" spans="1:2" x14ac:dyDescent="0.25">
      <c r="A213" t="s">
        <v>398</v>
      </c>
      <c r="B213" t="s">
        <v>253</v>
      </c>
    </row>
    <row r="214" spans="1:2" x14ac:dyDescent="0.25">
      <c r="A214" t="s">
        <v>399</v>
      </c>
      <c r="B214" t="s">
        <v>253</v>
      </c>
    </row>
    <row r="215" spans="1:2" x14ac:dyDescent="0.25">
      <c r="A215" t="s">
        <v>67</v>
      </c>
      <c r="B215" t="s">
        <v>253</v>
      </c>
    </row>
    <row r="216" spans="1:2" x14ac:dyDescent="0.25">
      <c r="A216" t="s">
        <v>66</v>
      </c>
      <c r="B216" t="s">
        <v>253</v>
      </c>
    </row>
    <row r="217" spans="1:2" x14ac:dyDescent="0.25">
      <c r="A217" t="s">
        <v>400</v>
      </c>
      <c r="B217" t="s">
        <v>253</v>
      </c>
    </row>
    <row r="218" spans="1:2" x14ac:dyDescent="0.25">
      <c r="A218" t="s">
        <v>400</v>
      </c>
      <c r="B218" t="s">
        <v>255</v>
      </c>
    </row>
    <row r="219" spans="1:2" x14ac:dyDescent="0.25">
      <c r="A219" t="s">
        <v>45</v>
      </c>
      <c r="B219" t="s">
        <v>265</v>
      </c>
    </row>
    <row r="220" spans="1:2" x14ac:dyDescent="0.25">
      <c r="A220" t="s">
        <v>45</v>
      </c>
      <c r="B220" t="s">
        <v>255</v>
      </c>
    </row>
    <row r="221" spans="1:2" x14ac:dyDescent="0.25">
      <c r="A221" t="s">
        <v>401</v>
      </c>
      <c r="B221" t="s">
        <v>255</v>
      </c>
    </row>
    <row r="222" spans="1:2" x14ac:dyDescent="0.25">
      <c r="A222" t="s">
        <v>402</v>
      </c>
      <c r="B222" t="s">
        <v>255</v>
      </c>
    </row>
    <row r="223" spans="1:2" x14ac:dyDescent="0.25">
      <c r="A223" t="s">
        <v>403</v>
      </c>
      <c r="B223" t="s">
        <v>265</v>
      </c>
    </row>
    <row r="224" spans="1:2" x14ac:dyDescent="0.25">
      <c r="A224" t="s">
        <v>404</v>
      </c>
      <c r="B224" t="s">
        <v>255</v>
      </c>
    </row>
    <row r="225" spans="1:2" x14ac:dyDescent="0.25">
      <c r="A225" t="s">
        <v>19</v>
      </c>
      <c r="B225" t="s">
        <v>265</v>
      </c>
    </row>
    <row r="226" spans="1:2" x14ac:dyDescent="0.25">
      <c r="A226" t="s">
        <v>20</v>
      </c>
      <c r="B226" t="s">
        <v>265</v>
      </c>
    </row>
    <row r="227" spans="1:2" x14ac:dyDescent="0.25">
      <c r="A227" t="s">
        <v>20</v>
      </c>
      <c r="B227" t="s">
        <v>255</v>
      </c>
    </row>
    <row r="228" spans="1:2" x14ac:dyDescent="0.25">
      <c r="A228" t="s">
        <v>405</v>
      </c>
      <c r="B228" t="s">
        <v>265</v>
      </c>
    </row>
    <row r="229" spans="1:2" x14ac:dyDescent="0.25">
      <c r="A229" t="s">
        <v>127</v>
      </c>
      <c r="B229" t="s">
        <v>255</v>
      </c>
    </row>
    <row r="230" spans="1:2" x14ac:dyDescent="0.25">
      <c r="A230" t="s">
        <v>127</v>
      </c>
      <c r="B230" t="s">
        <v>251</v>
      </c>
    </row>
    <row r="231" spans="1:2" x14ac:dyDescent="0.25">
      <c r="A231" t="s">
        <v>81</v>
      </c>
      <c r="B231" t="s">
        <v>251</v>
      </c>
    </row>
    <row r="232" spans="1:2" x14ac:dyDescent="0.25">
      <c r="A232" t="s">
        <v>81</v>
      </c>
      <c r="B232" t="s">
        <v>406</v>
      </c>
    </row>
    <row r="233" spans="1:2" x14ac:dyDescent="0.25">
      <c r="A233" t="s">
        <v>21</v>
      </c>
      <c r="B233" t="s">
        <v>406</v>
      </c>
    </row>
    <row r="234" spans="1:2" x14ac:dyDescent="0.25">
      <c r="A234" t="s">
        <v>408</v>
      </c>
      <c r="B234" t="s">
        <v>406</v>
      </c>
    </row>
    <row r="235" spans="1:2" x14ac:dyDescent="0.25">
      <c r="A235" t="s">
        <v>409</v>
      </c>
      <c r="B235" t="s">
        <v>406</v>
      </c>
    </row>
    <row r="236" spans="1:2" x14ac:dyDescent="0.25">
      <c r="A236" t="s">
        <v>410</v>
      </c>
      <c r="B236" t="s">
        <v>406</v>
      </c>
    </row>
    <row r="237" spans="1:2" x14ac:dyDescent="0.25">
      <c r="A237" t="s">
        <v>411</v>
      </c>
      <c r="B237" t="s">
        <v>406</v>
      </c>
    </row>
    <row r="238" spans="1:2" x14ac:dyDescent="0.25">
      <c r="A238" t="s">
        <v>27</v>
      </c>
      <c r="B238" t="s">
        <v>406</v>
      </c>
    </row>
    <row r="239" spans="1:2" x14ac:dyDescent="0.25">
      <c r="A239" t="s">
        <v>412</v>
      </c>
      <c r="B239" t="s">
        <v>406</v>
      </c>
    </row>
    <row r="240" spans="1:2" x14ac:dyDescent="0.25">
      <c r="A240" t="s">
        <v>413</v>
      </c>
      <c r="B240" t="s">
        <v>406</v>
      </c>
    </row>
    <row r="241" spans="1:2" x14ac:dyDescent="0.25">
      <c r="A241" t="s">
        <v>414</v>
      </c>
      <c r="B241" t="s">
        <v>406</v>
      </c>
    </row>
    <row r="242" spans="1:2" x14ac:dyDescent="0.25">
      <c r="A242" t="s">
        <v>415</v>
      </c>
      <c r="B242" t="s">
        <v>406</v>
      </c>
    </row>
    <row r="243" spans="1:2" x14ac:dyDescent="0.25">
      <c r="A243" t="s">
        <v>416</v>
      </c>
      <c r="B243" t="s">
        <v>406</v>
      </c>
    </row>
    <row r="244" spans="1:2" x14ac:dyDescent="0.25">
      <c r="A244" t="s">
        <v>55</v>
      </c>
      <c r="B244" t="s">
        <v>406</v>
      </c>
    </row>
    <row r="245" spans="1:2" x14ac:dyDescent="0.25">
      <c r="A245" t="s">
        <v>417</v>
      </c>
      <c r="B245" t="s">
        <v>406</v>
      </c>
    </row>
    <row r="246" spans="1:2" x14ac:dyDescent="0.25">
      <c r="A246" t="s">
        <v>418</v>
      </c>
      <c r="B246" t="s">
        <v>406</v>
      </c>
    </row>
    <row r="247" spans="1:2" x14ac:dyDescent="0.25">
      <c r="A247" t="s">
        <v>419</v>
      </c>
      <c r="B247" t="s">
        <v>406</v>
      </c>
    </row>
    <row r="248" spans="1:2" x14ac:dyDescent="0.25">
      <c r="A248" t="s">
        <v>420</v>
      </c>
      <c r="B248" t="s">
        <v>406</v>
      </c>
    </row>
    <row r="249" spans="1:2" x14ac:dyDescent="0.25">
      <c r="A249" t="s">
        <v>421</v>
      </c>
      <c r="B249" t="s">
        <v>406</v>
      </c>
    </row>
    <row r="250" spans="1:2" x14ac:dyDescent="0.25">
      <c r="A250" t="s">
        <v>72</v>
      </c>
      <c r="B250" t="s">
        <v>406</v>
      </c>
    </row>
    <row r="251" spans="1:2" x14ac:dyDescent="0.25">
      <c r="A251" t="s">
        <v>422</v>
      </c>
      <c r="B251" t="s">
        <v>406</v>
      </c>
    </row>
    <row r="252" spans="1:2" x14ac:dyDescent="0.25">
      <c r="A252" t="s">
        <v>423</v>
      </c>
      <c r="B252" t="s">
        <v>406</v>
      </c>
    </row>
    <row r="253" spans="1:2" x14ac:dyDescent="0.25">
      <c r="A253" t="s">
        <v>424</v>
      </c>
      <c r="B253" t="s">
        <v>406</v>
      </c>
    </row>
    <row r="254" spans="1:2" x14ac:dyDescent="0.25">
      <c r="A254" t="s">
        <v>425</v>
      </c>
      <c r="B254" t="s">
        <v>406</v>
      </c>
    </row>
    <row r="255" spans="1:2" x14ac:dyDescent="0.25">
      <c r="A255" t="s">
        <v>114</v>
      </c>
      <c r="B255" t="s">
        <v>406</v>
      </c>
    </row>
    <row r="256" spans="1:2" x14ac:dyDescent="0.25">
      <c r="A256" t="s">
        <v>426</v>
      </c>
      <c r="B256" t="s">
        <v>406</v>
      </c>
    </row>
    <row r="257" spans="1:2" x14ac:dyDescent="0.25">
      <c r="A257" t="s">
        <v>427</v>
      </c>
      <c r="B257" t="s">
        <v>406</v>
      </c>
    </row>
    <row r="258" spans="1:2" x14ac:dyDescent="0.25">
      <c r="A258" t="s">
        <v>428</v>
      </c>
      <c r="B258" t="s">
        <v>406</v>
      </c>
    </row>
    <row r="259" spans="1:2" x14ac:dyDescent="0.25">
      <c r="A259" t="s">
        <v>429</v>
      </c>
      <c r="B259" t="s">
        <v>406</v>
      </c>
    </row>
    <row r="260" spans="1:2" x14ac:dyDescent="0.25">
      <c r="A260" t="s">
        <v>431</v>
      </c>
      <c r="B260" t="s">
        <v>406</v>
      </c>
    </row>
    <row r="261" spans="1:2" x14ac:dyDescent="0.25">
      <c r="A261" t="s">
        <v>29</v>
      </c>
      <c r="B261" t="s">
        <v>253</v>
      </c>
    </row>
    <row r="262" spans="1:2" x14ac:dyDescent="0.25">
      <c r="A262" t="s">
        <v>432</v>
      </c>
      <c r="B262" t="s">
        <v>255</v>
      </c>
    </row>
    <row r="263" spans="1:2" x14ac:dyDescent="0.25">
      <c r="A263" t="s">
        <v>433</v>
      </c>
      <c r="B263" t="s">
        <v>255</v>
      </c>
    </row>
    <row r="264" spans="1:2" x14ac:dyDescent="0.25">
      <c r="A264" t="s">
        <v>434</v>
      </c>
      <c r="B264" t="s">
        <v>255</v>
      </c>
    </row>
    <row r="265" spans="1:2" x14ac:dyDescent="0.25">
      <c r="A265" t="s">
        <v>435</v>
      </c>
      <c r="B265" t="s">
        <v>255</v>
      </c>
    </row>
    <row r="266" spans="1:2" x14ac:dyDescent="0.25">
      <c r="A266" t="s">
        <v>436</v>
      </c>
      <c r="B266" t="s">
        <v>255</v>
      </c>
    </row>
    <row r="267" spans="1:2" x14ac:dyDescent="0.25">
      <c r="A267" t="s">
        <v>437</v>
      </c>
      <c r="B267" t="s">
        <v>255</v>
      </c>
    </row>
    <row r="268" spans="1:2" x14ac:dyDescent="0.25">
      <c r="A268" t="s">
        <v>438</v>
      </c>
      <c r="B268" t="s">
        <v>263</v>
      </c>
    </row>
    <row r="269" spans="1:2" x14ac:dyDescent="0.25">
      <c r="A269" t="s">
        <v>439</v>
      </c>
      <c r="B269" t="s">
        <v>253</v>
      </c>
    </row>
    <row r="270" spans="1:2" x14ac:dyDescent="0.25">
      <c r="A270" t="s">
        <v>440</v>
      </c>
      <c r="B270" t="s">
        <v>253</v>
      </c>
    </row>
    <row r="271" spans="1:2" x14ac:dyDescent="0.25">
      <c r="A271" t="s">
        <v>56</v>
      </c>
      <c r="B271" t="s">
        <v>253</v>
      </c>
    </row>
    <row r="272" spans="1:2" x14ac:dyDescent="0.25">
      <c r="A272" t="s">
        <v>57</v>
      </c>
      <c r="B272" t="s">
        <v>253</v>
      </c>
    </row>
    <row r="273" spans="1:2" x14ac:dyDescent="0.25">
      <c r="A273" t="s">
        <v>441</v>
      </c>
      <c r="B273" t="s">
        <v>253</v>
      </c>
    </row>
    <row r="274" spans="1:2" x14ac:dyDescent="0.25">
      <c r="A274" t="s">
        <v>442</v>
      </c>
      <c r="B274" t="s">
        <v>263</v>
      </c>
    </row>
    <row r="275" spans="1:2" x14ac:dyDescent="0.25">
      <c r="A275" t="s">
        <v>443</v>
      </c>
      <c r="B275" t="s">
        <v>263</v>
      </c>
    </row>
    <row r="276" spans="1:2" x14ac:dyDescent="0.25">
      <c r="A276" t="s">
        <v>444</v>
      </c>
      <c r="B276" t="s">
        <v>263</v>
      </c>
    </row>
    <row r="277" spans="1:2" x14ac:dyDescent="0.25">
      <c r="A277" t="s">
        <v>83</v>
      </c>
      <c r="B277" t="s">
        <v>272</v>
      </c>
    </row>
    <row r="278" spans="1:2" x14ac:dyDescent="0.25">
      <c r="A278" t="s">
        <v>84</v>
      </c>
      <c r="B278" t="s">
        <v>453</v>
      </c>
    </row>
    <row r="279" spans="1:2" x14ac:dyDescent="0.25">
      <c r="A279" t="s">
        <v>85</v>
      </c>
      <c r="B279" t="s">
        <v>453</v>
      </c>
    </row>
    <row r="280" spans="1:2" x14ac:dyDescent="0.25">
      <c r="A280" t="s">
        <v>87</v>
      </c>
      <c r="B280" t="s">
        <v>255</v>
      </c>
    </row>
    <row r="281" spans="1:2" x14ac:dyDescent="0.25">
      <c r="A281" t="s">
        <v>88</v>
      </c>
      <c r="B281" t="s">
        <v>272</v>
      </c>
    </row>
    <row r="282" spans="1:2" x14ac:dyDescent="0.25">
      <c r="A282" t="s">
        <v>90</v>
      </c>
      <c r="B282" t="s">
        <v>453</v>
      </c>
    </row>
    <row r="283" spans="1:2" x14ac:dyDescent="0.25">
      <c r="A283" t="s">
        <v>91</v>
      </c>
      <c r="B283" t="s">
        <v>453</v>
      </c>
    </row>
    <row r="284" spans="1:2" x14ac:dyDescent="0.25">
      <c r="A284" t="s">
        <v>92</v>
      </c>
      <c r="B284" t="s">
        <v>255</v>
      </c>
    </row>
    <row r="285" spans="1:2" x14ac:dyDescent="0.25">
      <c r="A285" t="s">
        <v>94</v>
      </c>
      <c r="B285" t="s">
        <v>453</v>
      </c>
    </row>
    <row r="286" spans="1:2" x14ac:dyDescent="0.25">
      <c r="A286" t="s">
        <v>96</v>
      </c>
      <c r="B286" t="s">
        <v>255</v>
      </c>
    </row>
    <row r="287" spans="1:2" x14ac:dyDescent="0.25">
      <c r="A287" t="s">
        <v>97</v>
      </c>
      <c r="B287" t="s">
        <v>453</v>
      </c>
    </row>
    <row r="288" spans="1:2" x14ac:dyDescent="0.25">
      <c r="A288" t="s">
        <v>98</v>
      </c>
      <c r="B288" t="s">
        <v>453</v>
      </c>
    </row>
    <row r="289" spans="1:2" x14ac:dyDescent="0.25">
      <c r="A289" t="s">
        <v>99</v>
      </c>
      <c r="B289" t="s">
        <v>255</v>
      </c>
    </row>
    <row r="290" spans="1:2" x14ac:dyDescent="0.25">
      <c r="A290" t="s">
        <v>100</v>
      </c>
      <c r="B290" t="s">
        <v>453</v>
      </c>
    </row>
    <row r="291" spans="1:2" x14ac:dyDescent="0.25">
      <c r="A291" t="s">
        <v>101</v>
      </c>
      <c r="B291" t="s">
        <v>255</v>
      </c>
    </row>
    <row r="292" spans="1:2" x14ac:dyDescent="0.25">
      <c r="A292" t="s">
        <v>102</v>
      </c>
      <c r="B292" t="s">
        <v>255</v>
      </c>
    </row>
    <row r="293" spans="1:2" x14ac:dyDescent="0.25">
      <c r="A293" t="s">
        <v>100</v>
      </c>
      <c r="B293" t="s">
        <v>255</v>
      </c>
    </row>
    <row r="294" spans="1:2" x14ac:dyDescent="0.25">
      <c r="A294" t="s">
        <v>103</v>
      </c>
      <c r="B294" t="s">
        <v>263</v>
      </c>
    </row>
    <row r="295" spans="1:2" x14ac:dyDescent="0.25">
      <c r="A295" t="s">
        <v>104</v>
      </c>
      <c r="B295" t="s">
        <v>255</v>
      </c>
    </row>
    <row r="296" spans="1:2" x14ac:dyDescent="0.25">
      <c r="A296" t="s">
        <v>105</v>
      </c>
      <c r="B296" t="s">
        <v>253</v>
      </c>
    </row>
    <row r="297" spans="1:2" x14ac:dyDescent="0.25">
      <c r="A297" t="s">
        <v>106</v>
      </c>
      <c r="B297" t="s">
        <v>453</v>
      </c>
    </row>
    <row r="298" spans="1:2" x14ac:dyDescent="0.25">
      <c r="A298" t="s">
        <v>107</v>
      </c>
      <c r="B298" t="s">
        <v>263</v>
      </c>
    </row>
    <row r="299" spans="1:2" x14ac:dyDescent="0.25">
      <c r="A299" t="s">
        <v>108</v>
      </c>
      <c r="B299" t="s">
        <v>255</v>
      </c>
    </row>
    <row r="300" spans="1:2" x14ac:dyDescent="0.25">
      <c r="A300" t="s">
        <v>109</v>
      </c>
      <c r="B300" t="s">
        <v>453</v>
      </c>
    </row>
    <row r="301" spans="1:2" x14ac:dyDescent="0.25">
      <c r="A301" t="s">
        <v>110</v>
      </c>
      <c r="B301" t="s">
        <v>263</v>
      </c>
    </row>
    <row r="302" spans="1:2" x14ac:dyDescent="0.25">
      <c r="A302" t="s">
        <v>111</v>
      </c>
      <c r="B302" t="s">
        <v>255</v>
      </c>
    </row>
    <row r="303" spans="1:2" x14ac:dyDescent="0.25">
      <c r="A303" s="30" t="s">
        <v>229</v>
      </c>
      <c r="B303" s="64" t="s">
        <v>255</v>
      </c>
    </row>
    <row r="304" spans="1:2" x14ac:dyDescent="0.25">
      <c r="A304" s="30" t="s">
        <v>230</v>
      </c>
      <c r="B304" s="64" t="s">
        <v>255</v>
      </c>
    </row>
    <row r="305" spans="1:2" x14ac:dyDescent="0.25">
      <c r="A305" s="30" t="s">
        <v>231</v>
      </c>
      <c r="B305" s="64" t="s">
        <v>255</v>
      </c>
    </row>
    <row r="306" spans="1:2" x14ac:dyDescent="0.25">
      <c r="A306" s="30" t="s">
        <v>232</v>
      </c>
      <c r="B306" s="64" t="s">
        <v>255</v>
      </c>
    </row>
    <row r="307" spans="1:2" x14ac:dyDescent="0.25">
      <c r="A307" s="30" t="s">
        <v>233</v>
      </c>
      <c r="B307" s="64" t="s">
        <v>255</v>
      </c>
    </row>
    <row r="308" spans="1:2" x14ac:dyDescent="0.25">
      <c r="A308" s="30" t="s">
        <v>235</v>
      </c>
      <c r="B308" s="64" t="s">
        <v>255</v>
      </c>
    </row>
    <row r="309" spans="1:2" x14ac:dyDescent="0.25">
      <c r="A309" s="30" t="s">
        <v>234</v>
      </c>
      <c r="B309" s="64" t="s">
        <v>255</v>
      </c>
    </row>
    <row r="310" spans="1:2" x14ac:dyDescent="0.25">
      <c r="A310" s="30" t="s">
        <v>235</v>
      </c>
      <c r="B310" s="64" t="s">
        <v>255</v>
      </c>
    </row>
    <row r="311" spans="1:2" x14ac:dyDescent="0.25">
      <c r="A311" s="30" t="s">
        <v>236</v>
      </c>
      <c r="B311" s="59" t="s">
        <v>255</v>
      </c>
    </row>
    <row r="312" spans="1:2" x14ac:dyDescent="0.25">
      <c r="A312" s="30" t="s">
        <v>240</v>
      </c>
      <c r="B312" s="65" t="s">
        <v>255</v>
      </c>
    </row>
    <row r="313" spans="1:2" x14ac:dyDescent="0.25">
      <c r="A313" s="30" t="s">
        <v>241</v>
      </c>
      <c r="B313" s="65" t="s">
        <v>253</v>
      </c>
    </row>
    <row r="314" spans="1:2" x14ac:dyDescent="0.25">
      <c r="A314" s="30" t="s">
        <v>238</v>
      </c>
      <c r="B314" s="59" t="s">
        <v>255</v>
      </c>
    </row>
    <row r="315" spans="1:2" x14ac:dyDescent="0.25">
      <c r="A315" s="30" t="s">
        <v>243</v>
      </c>
      <c r="B315" s="65" t="s">
        <v>255</v>
      </c>
    </row>
    <row r="316" spans="1:2" x14ac:dyDescent="0.25">
      <c r="A316" s="30" t="s">
        <v>244</v>
      </c>
      <c r="B316" s="59" t="s">
        <v>255</v>
      </c>
    </row>
    <row r="317" spans="1:2" x14ac:dyDescent="0.25">
      <c r="A317" s="30" t="s">
        <v>246</v>
      </c>
      <c r="B317" s="65" t="s">
        <v>255</v>
      </c>
    </row>
    <row r="319" spans="1:2" x14ac:dyDescent="0.25">
      <c r="A319" s="62"/>
    </row>
    <row r="321" spans="1:2" x14ac:dyDescent="0.25">
      <c r="A321" s="62"/>
    </row>
    <row r="322" spans="1:2" x14ac:dyDescent="0.25">
      <c r="A322" s="62"/>
      <c r="B322" s="64"/>
    </row>
    <row r="323" spans="1:2" x14ac:dyDescent="0.25">
      <c r="A323" s="62"/>
      <c r="B323" s="64"/>
    </row>
    <row r="324" spans="1:2" x14ac:dyDescent="0.25">
      <c r="B324" s="65"/>
    </row>
    <row r="331" spans="1:2" x14ac:dyDescent="0.25">
      <c r="A331" s="62"/>
    </row>
    <row r="332" spans="1:2" x14ac:dyDescent="0.25">
      <c r="B332" s="65"/>
    </row>
    <row r="333" spans="1:2" x14ac:dyDescent="0.25">
      <c r="A333" s="62"/>
      <c r="B333" s="64"/>
    </row>
    <row r="334" spans="1:2" x14ac:dyDescent="0.25">
      <c r="A334" s="62"/>
      <c r="B334" s="64"/>
    </row>
    <row r="335" spans="1:2" x14ac:dyDescent="0.25">
      <c r="B335" s="65"/>
    </row>
    <row r="336" spans="1:2" x14ac:dyDescent="0.25">
      <c r="B336" s="65"/>
    </row>
    <row r="337" spans="1:2" x14ac:dyDescent="0.25">
      <c r="A337" s="62"/>
    </row>
    <row r="338" spans="1:2" x14ac:dyDescent="0.25">
      <c r="A338" s="62"/>
      <c r="B338" s="64"/>
    </row>
    <row r="339" spans="1:2" x14ac:dyDescent="0.25">
      <c r="A339" s="62"/>
      <c r="B339" s="64"/>
    </row>
    <row r="340" spans="1:2" x14ac:dyDescent="0.25">
      <c r="B340" s="65"/>
    </row>
    <row r="352" spans="1:2" x14ac:dyDescent="0.25">
      <c r="A352" s="62"/>
      <c r="B352" s="64"/>
    </row>
    <row r="353" spans="1:2" x14ac:dyDescent="0.25">
      <c r="A353" s="62"/>
      <c r="B353" s="64"/>
    </row>
    <row r="354" spans="1:2" x14ac:dyDescent="0.25">
      <c r="B354" s="65"/>
    </row>
    <row r="358" spans="1:2" x14ac:dyDescent="0.25">
      <c r="A358" s="70"/>
    </row>
    <row r="359" spans="1:2" x14ac:dyDescent="0.25">
      <c r="A359" s="70"/>
    </row>
    <row r="360" spans="1:2" x14ac:dyDescent="0.25">
      <c r="A360" s="70"/>
    </row>
    <row r="361" spans="1:2" x14ac:dyDescent="0.25">
      <c r="A361" s="62"/>
      <c r="B361" s="64"/>
    </row>
    <row r="362" spans="1:2" x14ac:dyDescent="0.25">
      <c r="A362" s="62"/>
      <c r="B362" s="64"/>
    </row>
    <row r="363" spans="1:2" x14ac:dyDescent="0.25">
      <c r="A363" s="62"/>
      <c r="B363" s="64"/>
    </row>
    <row r="364" spans="1:2" x14ac:dyDescent="0.25">
      <c r="A364" s="62"/>
      <c r="B364" s="64"/>
    </row>
    <row r="365" spans="1:2" x14ac:dyDescent="0.25">
      <c r="B365" s="65"/>
    </row>
    <row r="366" spans="1:2" x14ac:dyDescent="0.25">
      <c r="B366" s="65"/>
    </row>
    <row r="367" spans="1:2" x14ac:dyDescent="0.25">
      <c r="B367" s="65"/>
    </row>
    <row r="368" spans="1:2" x14ac:dyDescent="0.25">
      <c r="A368" s="70"/>
    </row>
    <row r="369" spans="1:2" x14ac:dyDescent="0.25">
      <c r="A369" s="70"/>
    </row>
    <row r="370" spans="1:2" x14ac:dyDescent="0.25">
      <c r="A370" s="70"/>
    </row>
    <row r="371" spans="1:2" x14ac:dyDescent="0.25">
      <c r="A371" s="70"/>
    </row>
    <row r="372" spans="1:2" x14ac:dyDescent="0.25">
      <c r="A372" s="62"/>
      <c r="B372" s="64"/>
    </row>
    <row r="373" spans="1:2" x14ac:dyDescent="0.25">
      <c r="A373" s="62"/>
      <c r="B373" s="64"/>
    </row>
    <row r="374" spans="1:2" x14ac:dyDescent="0.25">
      <c r="A374" s="62"/>
      <c r="B374" s="64"/>
    </row>
    <row r="375" spans="1:2" x14ac:dyDescent="0.25">
      <c r="A375" s="62"/>
      <c r="B375" s="64"/>
    </row>
    <row r="376" spans="1:2" x14ac:dyDescent="0.25">
      <c r="B376" s="65"/>
    </row>
    <row r="377" spans="1:2" x14ac:dyDescent="0.25">
      <c r="B377" s="65"/>
    </row>
    <row r="378" spans="1:2" x14ac:dyDescent="0.25">
      <c r="B378" s="65"/>
    </row>
    <row r="379" spans="1:2" x14ac:dyDescent="0.25">
      <c r="B379" s="65"/>
    </row>
    <row r="380" spans="1:2" x14ac:dyDescent="0.25">
      <c r="B380" s="65"/>
    </row>
    <row r="381" spans="1:2" x14ac:dyDescent="0.25">
      <c r="B381" s="65"/>
    </row>
    <row r="382" spans="1:2" x14ac:dyDescent="0.25">
      <c r="B382" s="65"/>
    </row>
    <row r="383" spans="1:2" x14ac:dyDescent="0.25">
      <c r="B383" s="65"/>
    </row>
    <row r="384" spans="1:2" x14ac:dyDescent="0.25">
      <c r="B384" s="65"/>
    </row>
    <row r="385" spans="1:2" x14ac:dyDescent="0.25">
      <c r="B385" s="65"/>
    </row>
    <row r="386" spans="1:2" x14ac:dyDescent="0.25">
      <c r="B386" s="65"/>
    </row>
    <row r="387" spans="1:2" x14ac:dyDescent="0.25">
      <c r="B387" s="65"/>
    </row>
    <row r="388" spans="1:2" x14ac:dyDescent="0.25">
      <c r="A388" s="62"/>
    </row>
    <row r="389" spans="1:2" x14ac:dyDescent="0.25">
      <c r="A389" s="62"/>
    </row>
    <row r="390" spans="1:2" x14ac:dyDescent="0.25">
      <c r="A390" s="62"/>
      <c r="B390" s="64"/>
    </row>
    <row r="391" spans="1:2" x14ac:dyDescent="0.25">
      <c r="A391" s="62"/>
      <c r="B391" s="64"/>
    </row>
    <row r="392" spans="1:2" x14ac:dyDescent="0.25">
      <c r="B392" s="65"/>
    </row>
    <row r="393" spans="1:2" x14ac:dyDescent="0.25">
      <c r="B393" s="65"/>
    </row>
    <row r="394" spans="1:2" x14ac:dyDescent="0.25">
      <c r="B394" s="65"/>
    </row>
    <row r="395" spans="1:2" x14ac:dyDescent="0.25">
      <c r="B395" s="65"/>
    </row>
    <row r="396" spans="1:2" x14ac:dyDescent="0.25">
      <c r="A396" s="70"/>
    </row>
    <row r="397" spans="1:2" x14ac:dyDescent="0.25">
      <c r="A397" s="70"/>
    </row>
    <row r="398" spans="1:2" x14ac:dyDescent="0.25">
      <c r="A398" s="70"/>
    </row>
    <row r="399" spans="1:2" x14ac:dyDescent="0.25">
      <c r="A399" s="62"/>
    </row>
    <row r="400" spans="1:2" x14ac:dyDescent="0.25">
      <c r="A400" s="70"/>
    </row>
    <row r="401" spans="1:2" x14ac:dyDescent="0.25">
      <c r="A401" s="70"/>
    </row>
    <row r="402" spans="1:2" x14ac:dyDescent="0.25">
      <c r="B402" s="65"/>
    </row>
    <row r="403" spans="1:2" x14ac:dyDescent="0.25">
      <c r="A403" s="62"/>
      <c r="B403" s="64"/>
    </row>
    <row r="404" spans="1:2" x14ac:dyDescent="0.25">
      <c r="A404" s="62"/>
      <c r="B404" s="64"/>
    </row>
    <row r="405" spans="1:2" x14ac:dyDescent="0.25">
      <c r="B405" s="65"/>
    </row>
    <row r="406" spans="1:2" x14ac:dyDescent="0.25">
      <c r="A406" s="70"/>
    </row>
    <row r="407" spans="1:2" x14ac:dyDescent="0.25">
      <c r="A407" s="62"/>
    </row>
    <row r="408" spans="1:2" x14ac:dyDescent="0.25">
      <c r="A408" s="70"/>
    </row>
    <row r="409" spans="1:2" x14ac:dyDescent="0.25">
      <c r="B409" s="65"/>
    </row>
    <row r="410" spans="1:2" x14ac:dyDescent="0.25">
      <c r="A410" s="70"/>
    </row>
    <row r="411" spans="1:2" x14ac:dyDescent="0.25">
      <c r="A411" s="62"/>
    </row>
    <row r="412" spans="1:2" x14ac:dyDescent="0.25">
      <c r="A412" s="62"/>
    </row>
    <row r="413" spans="1:2" x14ac:dyDescent="0.25">
      <c r="A413" s="70"/>
    </row>
    <row r="414" spans="1:2" x14ac:dyDescent="0.25">
      <c r="A414" s="70"/>
    </row>
    <row r="415" spans="1:2" x14ac:dyDescent="0.25">
      <c r="B415" s="65"/>
    </row>
    <row r="416" spans="1:2" x14ac:dyDescent="0.25">
      <c r="B416" s="65"/>
    </row>
    <row r="417" spans="1:2" x14ac:dyDescent="0.25">
      <c r="A417" s="70"/>
    </row>
    <row r="418" spans="1:2" x14ac:dyDescent="0.25">
      <c r="A418" s="62"/>
    </row>
    <row r="419" spans="1:2" x14ac:dyDescent="0.25">
      <c r="A419" s="62"/>
    </row>
    <row r="420" spans="1:2" x14ac:dyDescent="0.25">
      <c r="A420" s="70"/>
    </row>
    <row r="421" spans="1:2" x14ac:dyDescent="0.25">
      <c r="A421" s="70"/>
    </row>
    <row r="422" spans="1:2" x14ac:dyDescent="0.25">
      <c r="B422" s="65"/>
    </row>
    <row r="423" spans="1:2" x14ac:dyDescent="0.25">
      <c r="B423" s="65"/>
    </row>
    <row r="424" spans="1:2" x14ac:dyDescent="0.25">
      <c r="A424" s="70"/>
    </row>
    <row r="425" spans="1:2" x14ac:dyDescent="0.25">
      <c r="A425" s="62"/>
    </row>
    <row r="426" spans="1:2" x14ac:dyDescent="0.25">
      <c r="A426" s="70"/>
    </row>
    <row r="427" spans="1:2" x14ac:dyDescent="0.25">
      <c r="A427" s="62"/>
    </row>
    <row r="428" spans="1:2" x14ac:dyDescent="0.25">
      <c r="A428" s="70"/>
    </row>
    <row r="429" spans="1:2" x14ac:dyDescent="0.25">
      <c r="B429" s="65"/>
    </row>
    <row r="430" spans="1:2" x14ac:dyDescent="0.25">
      <c r="B430" s="65"/>
    </row>
    <row r="431" spans="1:2" x14ac:dyDescent="0.25">
      <c r="A431" s="70"/>
    </row>
    <row r="432" spans="1:2" x14ac:dyDescent="0.25">
      <c r="A432" s="62"/>
    </row>
    <row r="433" spans="1:2" x14ac:dyDescent="0.25">
      <c r="A433" s="62"/>
      <c r="B433" s="64"/>
    </row>
    <row r="434" spans="1:2" x14ac:dyDescent="0.25">
      <c r="A434" s="62"/>
      <c r="B434" s="64"/>
    </row>
    <row r="435" spans="1:2" x14ac:dyDescent="0.25">
      <c r="B435" s="65"/>
    </row>
    <row r="436" spans="1:2" x14ac:dyDescent="0.25">
      <c r="A436" s="70"/>
    </row>
    <row r="437" spans="1:2" x14ac:dyDescent="0.25">
      <c r="A437" s="70"/>
    </row>
    <row r="438" spans="1:2" x14ac:dyDescent="0.25">
      <c r="A438" s="62"/>
    </row>
    <row r="439" spans="1:2" x14ac:dyDescent="0.25">
      <c r="A439" s="62"/>
    </row>
    <row r="440" spans="1:2" x14ac:dyDescent="0.25">
      <c r="A440" s="62"/>
      <c r="B440" s="64"/>
    </row>
    <row r="441" spans="1:2" x14ac:dyDescent="0.25">
      <c r="A441" s="62"/>
      <c r="B441" s="64"/>
    </row>
    <row r="442" spans="1:2" x14ac:dyDescent="0.25">
      <c r="A442" s="62"/>
      <c r="B442" s="64"/>
    </row>
    <row r="443" spans="1:2" x14ac:dyDescent="0.25">
      <c r="A443" s="62"/>
      <c r="B443" s="64"/>
    </row>
    <row r="444" spans="1:2" x14ac:dyDescent="0.25">
      <c r="B444" s="65"/>
    </row>
    <row r="445" spans="1:2" x14ac:dyDescent="0.25">
      <c r="B445" s="65"/>
    </row>
    <row r="446" spans="1:2" x14ac:dyDescent="0.25">
      <c r="A446" s="70"/>
    </row>
    <row r="447" spans="1:2" x14ac:dyDescent="0.25">
      <c r="A447" s="62"/>
      <c r="B447" s="65"/>
    </row>
    <row r="448" spans="1:2" x14ac:dyDescent="0.25">
      <c r="A448" s="70"/>
    </row>
    <row r="449" spans="1:2" x14ac:dyDescent="0.25">
      <c r="A449" s="70"/>
    </row>
    <row r="450" spans="1:2" x14ac:dyDescent="0.25">
      <c r="A450" s="62"/>
    </row>
    <row r="451" spans="1:2" x14ac:dyDescent="0.25">
      <c r="A451" s="62"/>
    </row>
    <row r="452" spans="1:2" x14ac:dyDescent="0.25">
      <c r="A452" s="62"/>
      <c r="B452" s="64"/>
    </row>
    <row r="453" spans="1:2" x14ac:dyDescent="0.25">
      <c r="A453" s="62"/>
      <c r="B453" s="64"/>
    </row>
    <row r="454" spans="1:2" x14ac:dyDescent="0.25">
      <c r="A454" s="62"/>
      <c r="B454" s="64"/>
    </row>
    <row r="455" spans="1:2" x14ac:dyDescent="0.25">
      <c r="A455" s="62"/>
      <c r="B455" s="64"/>
    </row>
    <row r="456" spans="1:2" x14ac:dyDescent="0.25">
      <c r="B456" s="65"/>
    </row>
    <row r="457" spans="1:2" x14ac:dyDescent="0.25">
      <c r="A457" s="66"/>
      <c r="B457" s="48"/>
    </row>
    <row r="458" spans="1:2" x14ac:dyDescent="0.25">
      <c r="A458" s="66"/>
      <c r="B458" s="71"/>
    </row>
    <row r="459" spans="1:2" x14ac:dyDescent="0.25">
      <c r="A459" s="66"/>
      <c r="B459" s="71"/>
    </row>
    <row r="460" spans="1:2" x14ac:dyDescent="0.25">
      <c r="A460" s="67"/>
      <c r="B460" s="71"/>
    </row>
    <row r="461" spans="1:2" x14ac:dyDescent="0.25">
      <c r="A461" s="67"/>
      <c r="B461" s="3"/>
    </row>
    <row r="462" spans="1:2" x14ac:dyDescent="0.25">
      <c r="A462" s="67"/>
      <c r="B462" s="3"/>
    </row>
    <row r="463" spans="1:2" x14ac:dyDescent="0.25">
      <c r="A463" s="66"/>
      <c r="B463" s="48"/>
    </row>
    <row r="464" spans="1:2" x14ac:dyDescent="0.25">
      <c r="A464" s="66"/>
      <c r="B464" s="71"/>
    </row>
    <row r="465" spans="1:2" x14ac:dyDescent="0.25">
      <c r="A465" s="67"/>
      <c r="B465" s="71"/>
    </row>
    <row r="466" spans="1:2" x14ac:dyDescent="0.25">
      <c r="A466" s="67"/>
      <c r="B466" s="3"/>
    </row>
    <row r="467" spans="1:2" x14ac:dyDescent="0.25">
      <c r="A467" s="67"/>
      <c r="B467" s="3"/>
    </row>
    <row r="468" spans="1:2" x14ac:dyDescent="0.25">
      <c r="A468" s="66"/>
      <c r="B468" s="48"/>
    </row>
    <row r="469" spans="1:2" x14ac:dyDescent="0.25">
      <c r="A469" s="66"/>
      <c r="B469" s="71"/>
    </row>
    <row r="470" spans="1:2" x14ac:dyDescent="0.25">
      <c r="A470" s="66"/>
      <c r="B470" s="71"/>
    </row>
    <row r="471" spans="1:2" x14ac:dyDescent="0.25">
      <c r="A471" s="66"/>
      <c r="B471" s="71"/>
    </row>
    <row r="472" spans="1:2" x14ac:dyDescent="0.25">
      <c r="A472" s="67"/>
      <c r="B472" s="3"/>
    </row>
    <row r="473" spans="1:2" x14ac:dyDescent="0.25">
      <c r="A473" s="67"/>
      <c r="B473" s="3"/>
    </row>
    <row r="474" spans="1:2" x14ac:dyDescent="0.25">
      <c r="A474" s="67"/>
      <c r="B474" s="3"/>
    </row>
    <row r="475" spans="1:2" x14ac:dyDescent="0.25">
      <c r="A475" s="67"/>
      <c r="B475" s="3"/>
    </row>
    <row r="476" spans="1:2" x14ac:dyDescent="0.25">
      <c r="A476" s="66"/>
      <c r="B476" s="71"/>
    </row>
    <row r="477" spans="1:2" x14ac:dyDescent="0.25">
      <c r="A477" s="66"/>
      <c r="B477" s="71"/>
    </row>
    <row r="478" spans="1:2" x14ac:dyDescent="0.25">
      <c r="A478" s="66"/>
      <c r="B478" s="71"/>
    </row>
    <row r="479" spans="1:2" x14ac:dyDescent="0.25">
      <c r="A479" s="66"/>
      <c r="B479" s="71"/>
    </row>
    <row r="480" spans="1:2" x14ac:dyDescent="0.25">
      <c r="A480" s="66"/>
      <c r="B480" s="71"/>
    </row>
    <row r="481" spans="1:2" x14ac:dyDescent="0.25">
      <c r="A481" s="66"/>
      <c r="B481" s="71"/>
    </row>
    <row r="482" spans="1:2" x14ac:dyDescent="0.25">
      <c r="A482" s="66"/>
      <c r="B482" s="71"/>
    </row>
    <row r="483" spans="1:2" x14ac:dyDescent="0.25">
      <c r="A483" s="66"/>
      <c r="B483" s="71"/>
    </row>
    <row r="484" spans="1:2" x14ac:dyDescent="0.25">
      <c r="A484" s="66"/>
      <c r="B484" s="71"/>
    </row>
    <row r="485" spans="1:2" x14ac:dyDescent="0.25">
      <c r="A485" s="66"/>
      <c r="B485" s="71"/>
    </row>
    <row r="486" spans="1:2" x14ac:dyDescent="0.25">
      <c r="A486" s="66"/>
      <c r="B486" s="48"/>
    </row>
    <row r="487" spans="1:2" x14ac:dyDescent="0.25">
      <c r="A487" s="66"/>
      <c r="B487" s="48"/>
    </row>
    <row r="488" spans="1:2" x14ac:dyDescent="0.25">
      <c r="A488" s="66"/>
      <c r="B488" s="48"/>
    </row>
    <row r="489" spans="1:2" x14ac:dyDescent="0.25">
      <c r="A489" s="66"/>
      <c r="B489" s="48"/>
    </row>
    <row r="490" spans="1:2" x14ac:dyDescent="0.25">
      <c r="A490" s="66"/>
      <c r="B490" s="48"/>
    </row>
    <row r="491" spans="1:2" x14ac:dyDescent="0.25">
      <c r="A491" s="66"/>
      <c r="B491" s="48"/>
    </row>
    <row r="492" spans="1:2" x14ac:dyDescent="0.25">
      <c r="A492" s="66"/>
      <c r="B492" s="48"/>
    </row>
    <row r="493" spans="1:2" x14ac:dyDescent="0.25">
      <c r="A493" s="66"/>
      <c r="B493" s="48"/>
    </row>
    <row r="494" spans="1:2" x14ac:dyDescent="0.25">
      <c r="A494" s="66"/>
      <c r="B494" s="48"/>
    </row>
    <row r="495" spans="1:2" x14ac:dyDescent="0.25">
      <c r="A495" s="66"/>
      <c r="B495" s="48"/>
    </row>
    <row r="496" spans="1:2" x14ac:dyDescent="0.25">
      <c r="A496" s="66"/>
      <c r="B496" s="48"/>
    </row>
    <row r="497" spans="1:2" x14ac:dyDescent="0.25">
      <c r="A497" s="67"/>
      <c r="B497" s="3"/>
    </row>
    <row r="498" spans="1:2" x14ac:dyDescent="0.25">
      <c r="A498" s="67"/>
      <c r="B498" s="3"/>
    </row>
    <row r="499" spans="1:2" x14ac:dyDescent="0.25">
      <c r="A499" s="67"/>
      <c r="B499" s="3"/>
    </row>
    <row r="500" spans="1:2" x14ac:dyDescent="0.25">
      <c r="A500" s="67"/>
      <c r="B500" s="3"/>
    </row>
    <row r="501" spans="1:2" x14ac:dyDescent="0.25">
      <c r="A501" s="66"/>
      <c r="B501" s="71"/>
    </row>
    <row r="502" spans="1:2" x14ac:dyDescent="0.25">
      <c r="A502" s="66"/>
      <c r="B502" s="48"/>
    </row>
    <row r="503" spans="1:2" x14ac:dyDescent="0.25">
      <c r="A503" s="66"/>
      <c r="B503" s="71"/>
    </row>
    <row r="504" spans="1:2" x14ac:dyDescent="0.25">
      <c r="A504" s="66"/>
      <c r="B504" s="71"/>
    </row>
    <row r="505" spans="1:2" x14ac:dyDescent="0.25">
      <c r="A505" s="66"/>
      <c r="B505" s="48"/>
    </row>
    <row r="506" spans="1:2" x14ac:dyDescent="0.25">
      <c r="A506" s="66"/>
      <c r="B506" s="48"/>
    </row>
    <row r="507" spans="1:2" x14ac:dyDescent="0.25">
      <c r="A507" s="66"/>
      <c r="B507" s="71"/>
    </row>
    <row r="508" spans="1:2" x14ac:dyDescent="0.25">
      <c r="A508" s="66"/>
      <c r="B508" s="48"/>
    </row>
    <row r="509" spans="1:2" x14ac:dyDescent="0.25">
      <c r="A509" s="66"/>
      <c r="B509" s="71"/>
    </row>
    <row r="510" spans="1:2" x14ac:dyDescent="0.25">
      <c r="A510" s="66"/>
      <c r="B510" s="48"/>
    </row>
    <row r="511" spans="1:2" x14ac:dyDescent="0.25">
      <c r="A511" s="66"/>
      <c r="B511" s="71"/>
    </row>
    <row r="512" spans="1:2" x14ac:dyDescent="0.25">
      <c r="A512" s="67"/>
      <c r="B512" s="71"/>
    </row>
    <row r="513" spans="1:2" x14ac:dyDescent="0.25">
      <c r="A513" s="67"/>
      <c r="B513" s="71"/>
    </row>
    <row r="514" spans="1:2" x14ac:dyDescent="0.25">
      <c r="A514" s="67"/>
      <c r="B514" s="3"/>
    </row>
    <row r="515" spans="1:2" x14ac:dyDescent="0.25">
      <c r="A515" s="67"/>
      <c r="B515" s="3"/>
    </row>
    <row r="516" spans="1:2" x14ac:dyDescent="0.25">
      <c r="A516" s="66"/>
      <c r="B516" s="48"/>
    </row>
    <row r="517" spans="1:2" x14ac:dyDescent="0.25">
      <c r="A517" s="66"/>
      <c r="B517" s="71"/>
    </row>
    <row r="518" spans="1:2" x14ac:dyDescent="0.25">
      <c r="A518" s="66"/>
      <c r="B518" s="71"/>
    </row>
    <row r="519" spans="1:2" x14ac:dyDescent="0.25">
      <c r="A519" s="66"/>
      <c r="B519" s="71"/>
    </row>
    <row r="520" spans="1:2" x14ac:dyDescent="0.25">
      <c r="A520" s="67"/>
      <c r="B520" s="71"/>
    </row>
    <row r="521" spans="1:2" x14ac:dyDescent="0.25">
      <c r="A521" s="67"/>
      <c r="B521" s="3"/>
    </row>
    <row r="522" spans="1:2" x14ac:dyDescent="0.25">
      <c r="A522" s="67"/>
      <c r="B522" s="3"/>
    </row>
    <row r="523" spans="1:2" x14ac:dyDescent="0.25">
      <c r="A523" s="66"/>
      <c r="B523" s="48"/>
    </row>
    <row r="524" spans="1:2" x14ac:dyDescent="0.25">
      <c r="A524" s="66"/>
      <c r="B524" s="48"/>
    </row>
    <row r="525" spans="1:2" x14ac:dyDescent="0.25">
      <c r="A525" s="66"/>
      <c r="B525" s="71"/>
    </row>
    <row r="526" spans="1:2" x14ac:dyDescent="0.25">
      <c r="A526" s="66"/>
      <c r="B526" s="71"/>
    </row>
    <row r="527" spans="1:2" x14ac:dyDescent="0.25">
      <c r="A527" s="66"/>
      <c r="B527" s="48"/>
    </row>
    <row r="528" spans="1:2" x14ac:dyDescent="0.25">
      <c r="A528" s="66"/>
      <c r="B528" s="48"/>
    </row>
    <row r="529" spans="1:2" x14ac:dyDescent="0.25">
      <c r="A529" s="66"/>
      <c r="B529" s="71"/>
    </row>
    <row r="530" spans="1:2" x14ac:dyDescent="0.25">
      <c r="A530" s="66"/>
      <c r="B530" s="48"/>
    </row>
    <row r="531" spans="1:2" x14ac:dyDescent="0.25">
      <c r="A531" s="66"/>
      <c r="B531" s="71"/>
    </row>
    <row r="532" spans="1:2" x14ac:dyDescent="0.25">
      <c r="A532" s="66"/>
      <c r="B532" s="71"/>
    </row>
    <row r="533" spans="1:2" x14ac:dyDescent="0.25">
      <c r="A533" s="66"/>
      <c r="B533" s="71"/>
    </row>
    <row r="534" spans="1:2" x14ac:dyDescent="0.25">
      <c r="A534" s="66"/>
      <c r="B534" s="71"/>
    </row>
    <row r="535" spans="1:2" x14ac:dyDescent="0.25">
      <c r="A535" s="66"/>
      <c r="B535" s="71"/>
    </row>
    <row r="536" spans="1:2" x14ac:dyDescent="0.25">
      <c r="A536" s="67"/>
      <c r="B536" s="71"/>
    </row>
    <row r="537" spans="1:2" x14ac:dyDescent="0.25">
      <c r="A537" s="66"/>
      <c r="B537" s="48"/>
    </row>
    <row r="538" spans="1:2" x14ac:dyDescent="0.25">
      <c r="A538" s="67"/>
      <c r="B538" s="3"/>
    </row>
    <row r="539" spans="1:2" x14ac:dyDescent="0.25">
      <c r="A539" s="67"/>
      <c r="B539" s="3"/>
    </row>
    <row r="540" spans="1:2" x14ac:dyDescent="0.25">
      <c r="A540" s="66"/>
      <c r="B540" s="48"/>
    </row>
    <row r="541" spans="1:2" x14ac:dyDescent="0.25">
      <c r="A541" s="66"/>
      <c r="B541" s="71"/>
    </row>
    <row r="542" spans="1:2" x14ac:dyDescent="0.25">
      <c r="A542" s="66"/>
      <c r="B542" s="71"/>
    </row>
    <row r="543" spans="1:2" x14ac:dyDescent="0.25">
      <c r="A543" s="66"/>
      <c r="B543" s="71"/>
    </row>
    <row r="544" spans="1:2" x14ac:dyDescent="0.25">
      <c r="A544" s="66"/>
      <c r="B544" s="71"/>
    </row>
    <row r="545" spans="1:2" x14ac:dyDescent="0.25">
      <c r="A545" s="67"/>
      <c r="B545" s="71"/>
    </row>
    <row r="546" spans="1:2" x14ac:dyDescent="0.25">
      <c r="A546" s="66"/>
      <c r="B546" s="71"/>
    </row>
    <row r="547" spans="1:2" x14ac:dyDescent="0.25">
      <c r="A547" s="66"/>
      <c r="B547" s="48"/>
    </row>
    <row r="548" spans="1:2" x14ac:dyDescent="0.25">
      <c r="A548" s="66"/>
      <c r="B548" s="48"/>
    </row>
    <row r="549" spans="1:2" x14ac:dyDescent="0.25">
      <c r="A549" s="67"/>
      <c r="B549" s="3"/>
    </row>
    <row r="550" spans="1:2" x14ac:dyDescent="0.25">
      <c r="A550" s="62"/>
      <c r="B550" s="64"/>
    </row>
    <row r="551" spans="1:2" x14ac:dyDescent="0.25">
      <c r="B551" s="65"/>
    </row>
    <row r="552" spans="1:2" x14ac:dyDescent="0.25">
      <c r="A552" s="62"/>
      <c r="B552" s="64"/>
    </row>
    <row r="553" spans="1:2" x14ac:dyDescent="0.25">
      <c r="A553" s="62"/>
      <c r="B553" s="64"/>
    </row>
    <row r="554" spans="1:2" x14ac:dyDescent="0.25">
      <c r="A554" s="66"/>
      <c r="B554" s="48"/>
    </row>
    <row r="555" spans="1:2" x14ac:dyDescent="0.25">
      <c r="A555" s="66"/>
      <c r="B555" s="71"/>
    </row>
    <row r="556" spans="1:2" x14ac:dyDescent="0.25">
      <c r="A556" s="66"/>
      <c r="B556" s="71"/>
    </row>
    <row r="557" spans="1:2" x14ac:dyDescent="0.25">
      <c r="A557" s="66"/>
      <c r="B557" s="71"/>
    </row>
    <row r="558" spans="1:2" x14ac:dyDescent="0.25">
      <c r="A558" s="66" t="s">
        <v>81</v>
      </c>
      <c r="B558" s="71"/>
    </row>
    <row r="559" spans="1:2" x14ac:dyDescent="0.25">
      <c r="A559" s="66"/>
      <c r="B559" s="71"/>
    </row>
    <row r="560" spans="1:2" x14ac:dyDescent="0.25">
      <c r="A560" s="66" t="s">
        <v>407</v>
      </c>
      <c r="B560" s="71"/>
    </row>
    <row r="561" spans="1:2" x14ac:dyDescent="0.25">
      <c r="A561" s="67"/>
      <c r="B561" s="48"/>
    </row>
    <row r="562" spans="1:2" x14ac:dyDescent="0.25">
      <c r="A562" s="69"/>
      <c r="B562" s="3"/>
    </row>
    <row r="563" spans="1:2" x14ac:dyDescent="0.25">
      <c r="A563" s="69" t="s">
        <v>81</v>
      </c>
      <c r="B563" s="3"/>
    </row>
    <row r="564" spans="1:2" x14ac:dyDescent="0.25">
      <c r="A564" s="69"/>
      <c r="B564" s="3"/>
    </row>
    <row r="565" spans="1:2" x14ac:dyDescent="0.25">
      <c r="A565" s="69" t="s">
        <v>81</v>
      </c>
      <c r="B565" s="3"/>
    </row>
    <row r="566" spans="1:2" x14ac:dyDescent="0.25">
      <c r="A566" s="66"/>
      <c r="B566" s="48"/>
    </row>
    <row r="567" spans="1:2" x14ac:dyDescent="0.25">
      <c r="A567" s="66" t="s">
        <v>81</v>
      </c>
      <c r="B567" s="48"/>
    </row>
    <row r="568" spans="1:2" x14ac:dyDescent="0.25">
      <c r="A568" s="69" t="s">
        <v>0</v>
      </c>
      <c r="B568" s="71"/>
    </row>
    <row r="569" spans="1:2" x14ac:dyDescent="0.25">
      <c r="A569" s="68"/>
      <c r="B569" s="71"/>
    </row>
    <row r="570" spans="1:2" x14ac:dyDescent="0.25">
      <c r="A570" s="67"/>
      <c r="B570" s="71"/>
    </row>
    <row r="571" spans="1:2" x14ac:dyDescent="0.25">
      <c r="A571" s="67"/>
      <c r="B571" s="3"/>
    </row>
    <row r="572" spans="1:2" x14ac:dyDescent="0.25">
      <c r="A572" s="67"/>
      <c r="B572" s="3"/>
    </row>
    <row r="573" spans="1:2" x14ac:dyDescent="0.25">
      <c r="A573" s="66"/>
      <c r="B573" s="48"/>
    </row>
    <row r="574" spans="1:2" x14ac:dyDescent="0.25">
      <c r="A574" s="66"/>
      <c r="B574" s="71"/>
    </row>
    <row r="575" spans="1:2" x14ac:dyDescent="0.25">
      <c r="A575" s="66"/>
      <c r="B575" s="71"/>
    </row>
    <row r="576" spans="1:2" x14ac:dyDescent="0.25">
      <c r="A576" s="66"/>
      <c r="B576" s="71"/>
    </row>
    <row r="577" spans="1:2" x14ac:dyDescent="0.25">
      <c r="A577" s="66"/>
      <c r="B577" s="71"/>
    </row>
    <row r="578" spans="1:2" x14ac:dyDescent="0.25">
      <c r="A578" s="66"/>
      <c r="B578" s="48"/>
    </row>
    <row r="579" spans="1:2" x14ac:dyDescent="0.25">
      <c r="A579" s="66"/>
      <c r="B579" s="71"/>
    </row>
    <row r="580" spans="1:2" x14ac:dyDescent="0.25">
      <c r="A580" s="66"/>
      <c r="B580" s="71"/>
    </row>
    <row r="581" spans="1:2" x14ac:dyDescent="0.25">
      <c r="A581" s="66"/>
      <c r="B581" s="71"/>
    </row>
    <row r="582" spans="1:2" x14ac:dyDescent="0.25">
      <c r="A582" s="67"/>
      <c r="B582" s="71"/>
    </row>
    <row r="583" spans="1:2" x14ac:dyDescent="0.25">
      <c r="A583" s="68"/>
      <c r="B583" s="3"/>
    </row>
    <row r="584" spans="1:2" x14ac:dyDescent="0.25">
      <c r="A584" s="68"/>
      <c r="B584" s="3"/>
    </row>
    <row r="585" spans="1:2" x14ac:dyDescent="0.25">
      <c r="A585" s="66"/>
      <c r="B585" s="48"/>
    </row>
    <row r="586" spans="1:2" x14ac:dyDescent="0.25">
      <c r="A586" s="66"/>
      <c r="B586" s="48"/>
    </row>
    <row r="587" spans="1:2" x14ac:dyDescent="0.25">
      <c r="A587" s="66"/>
      <c r="B587" s="71"/>
    </row>
    <row r="588" spans="1:2" x14ac:dyDescent="0.25">
      <c r="A588" s="66"/>
      <c r="B588" s="71"/>
    </row>
    <row r="589" spans="1:2" x14ac:dyDescent="0.25">
      <c r="A589" s="66"/>
      <c r="B589" s="71"/>
    </row>
    <row r="590" spans="1:2" x14ac:dyDescent="0.25">
      <c r="A590" s="66"/>
      <c r="B590" s="48"/>
    </row>
    <row r="591" spans="1:2" x14ac:dyDescent="0.25">
      <c r="A591" s="66"/>
      <c r="B591" s="71"/>
    </row>
    <row r="592" spans="1:2" x14ac:dyDescent="0.25">
      <c r="A592" s="66"/>
      <c r="B592" s="71"/>
    </row>
    <row r="593" spans="1:2" x14ac:dyDescent="0.25">
      <c r="A593" s="67"/>
      <c r="B593" s="71"/>
    </row>
    <row r="594" spans="1:2" x14ac:dyDescent="0.25">
      <c r="A594" s="68"/>
      <c r="B594" s="3"/>
    </row>
    <row r="595" spans="1:2" x14ac:dyDescent="0.25">
      <c r="A595" s="68"/>
      <c r="B595" s="3"/>
    </row>
    <row r="596" spans="1:2" x14ac:dyDescent="0.25">
      <c r="A596" s="66"/>
      <c r="B596" s="48"/>
    </row>
    <row r="597" spans="1:2" x14ac:dyDescent="0.25">
      <c r="A597" s="66"/>
      <c r="B597" s="71"/>
    </row>
    <row r="598" spans="1:2" x14ac:dyDescent="0.25">
      <c r="A598" s="66"/>
      <c r="B598" s="48"/>
    </row>
    <row r="599" spans="1:2" x14ac:dyDescent="0.25">
      <c r="A599" s="66"/>
      <c r="B599" s="71"/>
    </row>
    <row r="600" spans="1:2" x14ac:dyDescent="0.25">
      <c r="A600" s="66"/>
      <c r="B600" s="71"/>
    </row>
    <row r="601" spans="1:2" x14ac:dyDescent="0.25">
      <c r="A601" s="66"/>
      <c r="B601" s="48"/>
    </row>
    <row r="602" spans="1:2" x14ac:dyDescent="0.25">
      <c r="A602" s="66"/>
      <c r="B602" s="71"/>
    </row>
    <row r="603" spans="1:2" x14ac:dyDescent="0.25">
      <c r="A603" s="66"/>
      <c r="B603" s="71"/>
    </row>
    <row r="604" spans="1:2" x14ac:dyDescent="0.25">
      <c r="A604" s="67"/>
      <c r="B604" s="71"/>
    </row>
    <row r="605" spans="1:2" x14ac:dyDescent="0.25">
      <c r="A605" s="68"/>
      <c r="B605" s="3"/>
    </row>
    <row r="606" spans="1:2" x14ac:dyDescent="0.25">
      <c r="A606" s="68"/>
      <c r="B606" s="3"/>
    </row>
    <row r="607" spans="1:2" x14ac:dyDescent="0.25">
      <c r="A607" s="66"/>
      <c r="B607" s="48"/>
    </row>
    <row r="608" spans="1:2" x14ac:dyDescent="0.25">
      <c r="A608" s="66"/>
      <c r="B608" s="71"/>
    </row>
    <row r="609" spans="1:2" x14ac:dyDescent="0.25">
      <c r="A609" s="66"/>
      <c r="B609" s="71"/>
    </row>
    <row r="610" spans="1:2" x14ac:dyDescent="0.25">
      <c r="A610" s="66"/>
      <c r="B610" s="71"/>
    </row>
    <row r="611" spans="1:2" x14ac:dyDescent="0.25">
      <c r="A611" s="66"/>
      <c r="B611" s="48"/>
    </row>
    <row r="612" spans="1:2" x14ac:dyDescent="0.25">
      <c r="A612" s="66"/>
      <c r="B612" s="48"/>
    </row>
    <row r="613" spans="1:2" x14ac:dyDescent="0.25">
      <c r="A613" s="66"/>
      <c r="B613" s="71"/>
    </row>
    <row r="614" spans="1:2" x14ac:dyDescent="0.25">
      <c r="A614" s="66"/>
      <c r="B614" s="71"/>
    </row>
    <row r="615" spans="1:2" x14ac:dyDescent="0.25">
      <c r="A615" s="66"/>
      <c r="B615" s="71"/>
    </row>
    <row r="616" spans="1:2" x14ac:dyDescent="0.25">
      <c r="A616" s="66"/>
      <c r="B616" s="71"/>
    </row>
    <row r="617" spans="1:2" x14ac:dyDescent="0.25">
      <c r="A617" s="66"/>
      <c r="B617" s="71"/>
    </row>
    <row r="618" spans="1:2" x14ac:dyDescent="0.25">
      <c r="A618" s="66"/>
      <c r="B618" s="71"/>
    </row>
    <row r="619" spans="1:2" x14ac:dyDescent="0.25">
      <c r="A619" s="66"/>
      <c r="B619" s="71"/>
    </row>
    <row r="620" spans="1:2" x14ac:dyDescent="0.25">
      <c r="A620" s="66" t="s">
        <v>430</v>
      </c>
      <c r="B620" s="71"/>
    </row>
    <row r="621" spans="1:2" x14ac:dyDescent="0.25">
      <c r="A621" s="66"/>
      <c r="B621" s="48"/>
    </row>
    <row r="622" spans="1:2" x14ac:dyDescent="0.25">
      <c r="A622" s="66" t="s">
        <v>29</v>
      </c>
      <c r="B622" s="71"/>
    </row>
    <row r="623" spans="1:2" x14ac:dyDescent="0.25">
      <c r="A623" s="66"/>
      <c r="B623" s="71"/>
    </row>
    <row r="624" spans="1:2" x14ac:dyDescent="0.25">
      <c r="A624" s="67" t="s">
        <v>29</v>
      </c>
      <c r="B624" s="71"/>
    </row>
    <row r="625" spans="1:2" x14ac:dyDescent="0.25">
      <c r="A625" s="67" t="s">
        <v>29</v>
      </c>
      <c r="B625" s="71"/>
    </row>
    <row r="626" spans="1:2" x14ac:dyDescent="0.25">
      <c r="A626" s="66" t="s">
        <v>29</v>
      </c>
      <c r="B626" s="71"/>
    </row>
    <row r="627" spans="1:2" x14ac:dyDescent="0.25">
      <c r="A627" s="66" t="s">
        <v>29</v>
      </c>
      <c r="B627" s="71"/>
    </row>
    <row r="628" spans="1:2" x14ac:dyDescent="0.25">
      <c r="A628" s="66" t="s">
        <v>29</v>
      </c>
      <c r="B628" s="48"/>
    </row>
    <row r="629" spans="1:2" x14ac:dyDescent="0.25">
      <c r="A629" s="66" t="s">
        <v>29</v>
      </c>
      <c r="B629" s="48"/>
    </row>
    <row r="630" spans="1:2" x14ac:dyDescent="0.25">
      <c r="A630" s="66" t="s">
        <v>29</v>
      </c>
      <c r="B630" s="48"/>
    </row>
    <row r="631" spans="1:2" x14ac:dyDescent="0.25">
      <c r="A631" s="66" t="s">
        <v>29</v>
      </c>
      <c r="B631" s="48"/>
    </row>
    <row r="632" spans="1:2" x14ac:dyDescent="0.25">
      <c r="A632" s="67" t="s">
        <v>29</v>
      </c>
      <c r="B632" s="3"/>
    </row>
    <row r="633" spans="1:2" x14ac:dyDescent="0.25">
      <c r="A633" s="67" t="s">
        <v>29</v>
      </c>
      <c r="B633" s="3"/>
    </row>
    <row r="634" spans="1:2" x14ac:dyDescent="0.25">
      <c r="A634" s="67" t="s">
        <v>29</v>
      </c>
      <c r="B634" s="3"/>
    </row>
    <row r="635" spans="1:2" x14ac:dyDescent="0.25">
      <c r="A635" s="67" t="s">
        <v>29</v>
      </c>
      <c r="B635" s="3"/>
    </row>
    <row r="636" spans="1:2" x14ac:dyDescent="0.25">
      <c r="A636" s="66" t="s">
        <v>29</v>
      </c>
      <c r="B636" s="48"/>
    </row>
    <row r="637" spans="1:2" x14ac:dyDescent="0.25">
      <c r="A637" s="66" t="s">
        <v>29</v>
      </c>
      <c r="B637" s="48"/>
    </row>
    <row r="638" spans="1:2" x14ac:dyDescent="0.25">
      <c r="A638" s="66"/>
      <c r="B638" s="48"/>
    </row>
    <row r="639" spans="1:2" x14ac:dyDescent="0.25">
      <c r="A639" s="66"/>
      <c r="B639" s="48"/>
    </row>
    <row r="640" spans="1:2" x14ac:dyDescent="0.25">
      <c r="A640" s="66"/>
      <c r="B640" s="48"/>
    </row>
    <row r="641" spans="1:2" x14ac:dyDescent="0.25">
      <c r="A641" s="66"/>
      <c r="B641" s="48"/>
    </row>
    <row r="642" spans="1:2" x14ac:dyDescent="0.25">
      <c r="A642" s="66"/>
      <c r="B642" s="48"/>
    </row>
    <row r="643" spans="1:2" x14ac:dyDescent="0.25">
      <c r="A643" s="66"/>
      <c r="B643" s="48"/>
    </row>
    <row r="644" spans="1:2" x14ac:dyDescent="0.25">
      <c r="A644" s="66"/>
      <c r="B644" s="48"/>
    </row>
    <row r="645" spans="1:2" x14ac:dyDescent="0.25">
      <c r="A645" s="66"/>
      <c r="B645" s="48"/>
    </row>
    <row r="646" spans="1:2" x14ac:dyDescent="0.25">
      <c r="A646" s="66"/>
      <c r="B646" s="48"/>
    </row>
    <row r="647" spans="1:2" x14ac:dyDescent="0.25">
      <c r="B647" s="65"/>
    </row>
    <row r="648" spans="1:2" x14ac:dyDescent="0.25">
      <c r="B648" s="65"/>
    </row>
    <row r="649" spans="1:2" x14ac:dyDescent="0.25">
      <c r="B649" s="65"/>
    </row>
    <row r="650" spans="1:2" x14ac:dyDescent="0.25">
      <c r="B650" s="65"/>
    </row>
    <row r="651" spans="1:2" x14ac:dyDescent="0.25">
      <c r="B651" s="65"/>
    </row>
    <row r="655" spans="1:2" x14ac:dyDescent="0.25">
      <c r="A655" s="58" t="s">
        <v>440</v>
      </c>
    </row>
    <row r="656" spans="1:2" x14ac:dyDescent="0.25">
      <c r="A656" s="62"/>
    </row>
    <row r="657" spans="1:2" x14ac:dyDescent="0.25">
      <c r="A657" s="62"/>
    </row>
    <row r="658" spans="1:2" x14ac:dyDescent="0.25">
      <c r="A658" s="62"/>
      <c r="B658" s="64"/>
    </row>
    <row r="659" spans="1:2" x14ac:dyDescent="0.25">
      <c r="A659" s="62"/>
      <c r="B659" s="64"/>
    </row>
    <row r="660" spans="1:2" x14ac:dyDescent="0.25">
      <c r="B660" s="65"/>
    </row>
    <row r="661" spans="1:2" x14ac:dyDescent="0.25">
      <c r="B661" s="65"/>
    </row>
    <row r="662" spans="1:2" x14ac:dyDescent="0.25">
      <c r="A662" s="60"/>
      <c r="B662" s="64"/>
    </row>
    <row r="663" spans="1:2" x14ac:dyDescent="0.25">
      <c r="A663" s="62"/>
      <c r="B663" s="64"/>
    </row>
    <row r="664" spans="1:2" x14ac:dyDescent="0.25">
      <c r="A664" s="62"/>
      <c r="B664" s="64"/>
    </row>
    <row r="665" spans="1:2" x14ac:dyDescent="0.25">
      <c r="A665" s="62"/>
      <c r="B665" s="64"/>
    </row>
    <row r="666" spans="1:2" x14ac:dyDescent="0.25">
      <c r="A666" s="62"/>
      <c r="B666" s="64"/>
    </row>
    <row r="667" spans="1:2" x14ac:dyDescent="0.25">
      <c r="A667" s="62"/>
      <c r="B667" s="64"/>
    </row>
    <row r="668" spans="1:2" x14ac:dyDescent="0.25">
      <c r="A668" s="62"/>
      <c r="B668" s="64"/>
    </row>
    <row r="669" spans="1:2" x14ac:dyDescent="0.25">
      <c r="A669" s="62"/>
      <c r="B669" s="64"/>
    </row>
    <row r="670" spans="1:2" x14ac:dyDescent="0.25">
      <c r="A670" s="62"/>
      <c r="B670" s="64"/>
    </row>
    <row r="671" spans="1:2" x14ac:dyDescent="0.25">
      <c r="A671" s="62"/>
      <c r="B671" s="64"/>
    </row>
    <row r="680" spans="1:2" x14ac:dyDescent="0.25">
      <c r="A680" s="62"/>
      <c r="B680" s="65"/>
    </row>
    <row r="681" spans="1:2" x14ac:dyDescent="0.25">
      <c r="B681" s="65"/>
    </row>
    <row r="682" spans="1:2" x14ac:dyDescent="0.25">
      <c r="B682" s="65"/>
    </row>
    <row r="683" spans="1:2" x14ac:dyDescent="0.25">
      <c r="B683" s="65"/>
    </row>
    <row r="684" spans="1:2" x14ac:dyDescent="0.25">
      <c r="B684" s="65"/>
    </row>
    <row r="685" spans="1:2" x14ac:dyDescent="0.25">
      <c r="B685" s="65"/>
    </row>
    <row r="686" spans="1:2" x14ac:dyDescent="0.25">
      <c r="B686" s="65"/>
    </row>
    <row r="687" spans="1:2" x14ac:dyDescent="0.25">
      <c r="B687" s="65"/>
    </row>
    <row r="690" spans="1:2" x14ac:dyDescent="0.25">
      <c r="A690" s="62"/>
    </row>
    <row r="691" spans="1:2" x14ac:dyDescent="0.25">
      <c r="A691" s="62"/>
    </row>
    <row r="692" spans="1:2" x14ac:dyDescent="0.25">
      <c r="B692" s="65"/>
    </row>
    <row r="693" spans="1:2" x14ac:dyDescent="0.25">
      <c r="B693" s="65"/>
    </row>
    <row r="694" spans="1:2" x14ac:dyDescent="0.25">
      <c r="B694" s="65"/>
    </row>
    <row r="695" spans="1:2" x14ac:dyDescent="0.25">
      <c r="B695" s="65"/>
    </row>
    <row r="696" spans="1:2" x14ac:dyDescent="0.25">
      <c r="B696" s="65"/>
    </row>
    <row r="697" spans="1:2" x14ac:dyDescent="0.25">
      <c r="B697" s="65"/>
    </row>
    <row r="698" spans="1:2" x14ac:dyDescent="0.25">
      <c r="B698" s="65"/>
    </row>
    <row r="699" spans="1:2" x14ac:dyDescent="0.25">
      <c r="B699" s="65"/>
    </row>
    <row r="700" spans="1:2" x14ac:dyDescent="0.25">
      <c r="B700" s="65"/>
    </row>
    <row r="701" spans="1:2" x14ac:dyDescent="0.25">
      <c r="B701" s="65"/>
    </row>
    <row r="702" spans="1:2" x14ac:dyDescent="0.25">
      <c r="B702" s="65"/>
    </row>
    <row r="703" spans="1:2" x14ac:dyDescent="0.25">
      <c r="B703" s="65"/>
    </row>
    <row r="704" spans="1:2" x14ac:dyDescent="0.25">
      <c r="B704" s="65"/>
    </row>
    <row r="705" spans="1:2" x14ac:dyDescent="0.25">
      <c r="B705" s="65"/>
    </row>
    <row r="706" spans="1:2" x14ac:dyDescent="0.25">
      <c r="B706" s="65"/>
    </row>
    <row r="707" spans="1:2" x14ac:dyDescent="0.25">
      <c r="B707" s="65"/>
    </row>
    <row r="708" spans="1:2" x14ac:dyDescent="0.25">
      <c r="B708" s="65"/>
    </row>
    <row r="709" spans="1:2" x14ac:dyDescent="0.25">
      <c r="A709" s="62"/>
      <c r="B709" s="64"/>
    </row>
    <row r="710" spans="1:2" x14ac:dyDescent="0.25">
      <c r="A710" s="62"/>
      <c r="B710" s="64"/>
    </row>
    <row r="711" spans="1:2" x14ac:dyDescent="0.25">
      <c r="A711" s="62"/>
      <c r="B711" s="64"/>
    </row>
    <row r="712" spans="1:2" x14ac:dyDescent="0.25">
      <c r="A712" s="62"/>
      <c r="B712" s="64"/>
    </row>
    <row r="713" spans="1:2" x14ac:dyDescent="0.25">
      <c r="A713" s="62"/>
      <c r="B713" s="64"/>
    </row>
    <row r="714" spans="1:2" x14ac:dyDescent="0.25">
      <c r="A714" s="62"/>
      <c r="B714" s="64"/>
    </row>
    <row r="715" spans="1:2" x14ac:dyDescent="0.25">
      <c r="A715" s="62"/>
      <c r="B715" s="64"/>
    </row>
    <row r="716" spans="1:2" x14ac:dyDescent="0.25">
      <c r="A716" s="62"/>
      <c r="B716" s="64"/>
    </row>
    <row r="717" spans="1:2" x14ac:dyDescent="0.25">
      <c r="A717" s="62"/>
      <c r="B717" s="64"/>
    </row>
    <row r="720" spans="1:2" x14ac:dyDescent="0.25">
      <c r="A720" s="8"/>
    </row>
    <row r="722" spans="1:2" x14ac:dyDescent="0.25">
      <c r="A722" s="62"/>
      <c r="B722" s="64"/>
    </row>
    <row r="723" spans="1:2" x14ac:dyDescent="0.25">
      <c r="A723" s="62"/>
      <c r="B723" s="64"/>
    </row>
    <row r="724" spans="1:2" x14ac:dyDescent="0.25">
      <c r="A724" s="62"/>
      <c r="B724" s="64"/>
    </row>
    <row r="725" spans="1:2" x14ac:dyDescent="0.25">
      <c r="A725" s="62"/>
      <c r="B725" s="64"/>
    </row>
    <row r="726" spans="1:2" x14ac:dyDescent="0.25">
      <c r="A726" s="62"/>
      <c r="B726" s="64"/>
    </row>
    <row r="727" spans="1:2" x14ac:dyDescent="0.25">
      <c r="A727" s="62"/>
      <c r="B727" s="64"/>
    </row>
    <row r="728" spans="1:2" x14ac:dyDescent="0.25">
      <c r="A728" s="62"/>
      <c r="B728" s="64"/>
    </row>
    <row r="729" spans="1:2" x14ac:dyDescent="0.25">
      <c r="A729" s="62"/>
      <c r="B729" s="64"/>
    </row>
    <row r="730" spans="1:2" x14ac:dyDescent="0.25">
      <c r="A730" s="62"/>
      <c r="B730" s="64"/>
    </row>
    <row r="731" spans="1:2" x14ac:dyDescent="0.25">
      <c r="B731" s="65"/>
    </row>
    <row r="732" spans="1:2" x14ac:dyDescent="0.25">
      <c r="B732" s="65"/>
    </row>
    <row r="733" spans="1:2" x14ac:dyDescent="0.25">
      <c r="B733" s="65"/>
    </row>
    <row r="734" spans="1:2" x14ac:dyDescent="0.25">
      <c r="B734" s="65"/>
    </row>
    <row r="735" spans="1:2" x14ac:dyDescent="0.25">
      <c r="B735" s="65"/>
    </row>
    <row r="736" spans="1:2" x14ac:dyDescent="0.25">
      <c r="B736" s="65"/>
    </row>
    <row r="737" spans="2:2" x14ac:dyDescent="0.25">
      <c r="B737" s="65"/>
    </row>
    <row r="738" spans="2:2" x14ac:dyDescent="0.25">
      <c r="B738" s="65"/>
    </row>
    <row r="739" spans="2:2" x14ac:dyDescent="0.25">
      <c r="B739" s="65"/>
    </row>
    <row r="740" spans="2:2" x14ac:dyDescent="0.25">
      <c r="B740" s="65"/>
    </row>
    <row r="741" spans="2:2" x14ac:dyDescent="0.25">
      <c r="B741" s="65"/>
    </row>
    <row r="742" spans="2:2" x14ac:dyDescent="0.25">
      <c r="B742" s="65"/>
    </row>
    <row r="743" spans="2:2" x14ac:dyDescent="0.25">
      <c r="B743" s="65"/>
    </row>
  </sheetData>
  <mergeCells count="1">
    <mergeCell ref="D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E108"/>
  <sheetViews>
    <sheetView zoomScale="70" zoomScaleNormal="70" zoomScaleSheetLayoutView="140" workbookViewId="0">
      <selection activeCell="T1" sqref="T1:T97"/>
    </sheetView>
  </sheetViews>
  <sheetFormatPr defaultRowHeight="15" customHeight="1" x14ac:dyDescent="0.25"/>
  <cols>
    <col min="1" max="1" width="59" style="8" customWidth="1"/>
    <col min="2" max="2" width="3.7109375" style="8" hidden="1" customWidth="1"/>
    <col min="3" max="8" width="4.7109375" style="4" hidden="1" customWidth="1"/>
    <col min="9" max="9" width="3.7109375" style="5" hidden="1" customWidth="1"/>
    <col min="10" max="10" width="7.5703125" style="10" hidden="1" customWidth="1"/>
    <col min="11" max="13" width="5.85546875" style="73" hidden="1" customWidth="1"/>
    <col min="14" max="14" width="32.42578125" style="7" hidden="1" customWidth="1"/>
    <col min="15" max="15" width="19" style="7" hidden="1" customWidth="1"/>
    <col min="16" max="17" width="10.7109375" style="7" hidden="1" customWidth="1"/>
    <col min="18" max="18" width="7.5703125" style="7" customWidth="1"/>
    <col min="19" max="20" width="14" style="7" customWidth="1"/>
    <col min="21" max="21" width="11.85546875" style="7" customWidth="1"/>
    <col min="22" max="16384" width="9.140625" style="7"/>
  </cols>
  <sheetData>
    <row r="1" spans="1:31" s="3" customFormat="1" ht="15.95" customHeight="1" x14ac:dyDescent="0.25">
      <c r="A1" s="1" t="s">
        <v>81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" t="s">
        <v>578</v>
      </c>
      <c r="T1" s="1" t="s">
        <v>629</v>
      </c>
      <c r="U1" s="111" t="s">
        <v>577</v>
      </c>
      <c r="V1" s="3" t="s">
        <v>255</v>
      </c>
      <c r="W1" s="3" t="s">
        <v>265</v>
      </c>
      <c r="X1" s="3" t="s">
        <v>253</v>
      </c>
      <c r="Y1" s="3" t="s">
        <v>263</v>
      </c>
      <c r="Z1" s="3" t="s">
        <v>272</v>
      </c>
      <c r="AA1" s="3" t="s">
        <v>406</v>
      </c>
      <c r="AB1" s="3" t="s">
        <v>573</v>
      </c>
      <c r="AC1" s="3" t="s">
        <v>607</v>
      </c>
      <c r="AD1" s="7" t="s">
        <v>575</v>
      </c>
      <c r="AE1" s="7" t="s">
        <v>576</v>
      </c>
    </row>
    <row r="2" spans="1:31" ht="15.95" customHeight="1" x14ac:dyDescent="0.25">
      <c r="A2" s="1" t="s">
        <v>10</v>
      </c>
      <c r="B2" s="1"/>
      <c r="I2" s="13"/>
      <c r="J2" s="6">
        <v>1</v>
      </c>
      <c r="L2" s="73">
        <v>1</v>
      </c>
      <c r="O2" s="3">
        <f ca="1">YEAR(TODAY())</f>
        <v>2013</v>
      </c>
      <c r="P2" s="3">
        <f ca="1">O2-(AVERAGEIFS(P:P,L:L,"&gt;0",Q:Q,"ОТД"))</f>
        <v>53.909090909090992</v>
      </c>
      <c r="T2" s="7">
        <f ca="1">YEAR(TODAY())</f>
        <v>2013</v>
      </c>
      <c r="V2" s="7">
        <f ca="1">COUNTIFS(P:P,"&gt;1900",R:R,"СПЕ")</f>
        <v>18</v>
      </c>
      <c r="W2" s="7">
        <f ca="1">COUNTIFS(P:P,"&gt;1900",R:R,"ОФД")</f>
        <v>6</v>
      </c>
      <c r="X2" s="7">
        <f ca="1">COUNTIFS(P:P,"&gt;1900",R:R,"ПЕД")</f>
        <v>6</v>
      </c>
      <c r="Y2" s="7">
        <f>COUNTIF(R:R,"ПРА")</f>
        <v>3</v>
      </c>
      <c r="Z2" s="7">
        <f>COUNTIF(R:R,"ИЗБ")</f>
        <v>3</v>
      </c>
      <c r="AA2" s="7">
        <f>COUNTIF(R:R,"ФД")</f>
        <v>4</v>
      </c>
      <c r="AB2" s="7">
        <f ca="1">SUBTOTAL(9,V2:AA2)</f>
        <v>40</v>
      </c>
      <c r="AC2" s="7">
        <f ca="1">V2/AB2</f>
        <v>0.45</v>
      </c>
      <c r="AD2" s="7">
        <f>(COUNTIFS(N:N,"проф.*",Q:Q,"ОТД")+COUNTIFS(N:N,"доц.*",Q:Q,"ОТД"))/COUNTIF(Q:Q,"ОТД")</f>
        <v>0.68181818181818177</v>
      </c>
      <c r="AE2" s="7">
        <f ca="1">COUNTIF(S:S,"У")/V2</f>
        <v>0</v>
      </c>
    </row>
    <row r="3" spans="1:31" ht="15.95" customHeight="1" x14ac:dyDescent="0.25">
      <c r="A3" s="8" t="s">
        <v>82</v>
      </c>
      <c r="B3" s="8">
        <v>60</v>
      </c>
      <c r="C3" s="4">
        <v>60</v>
      </c>
      <c r="D3" s="4">
        <v>30</v>
      </c>
      <c r="E3" s="4">
        <v>30</v>
      </c>
      <c r="F3" s="4">
        <f>C3-D3-E3</f>
        <v>0</v>
      </c>
      <c r="G3" s="4">
        <f>H3-C3</f>
        <v>60</v>
      </c>
      <c r="H3" s="4">
        <f>I3*30</f>
        <v>120</v>
      </c>
      <c r="I3" s="4">
        <v>4</v>
      </c>
      <c r="J3" s="4" t="s">
        <v>14</v>
      </c>
      <c r="K3" s="73">
        <f t="shared" ref="K3:K34" si="0">SUMIF(A:A,A3,C:C)</f>
        <v>105</v>
      </c>
      <c r="L3" s="73">
        <f t="shared" ref="L3:L34" si="1">SUMIF(A:A,A3,D:D)</f>
        <v>60</v>
      </c>
      <c r="M3" s="73">
        <f t="shared" ref="M3:M34" si="2">SUMIF(A:A,A3,E:E)+SUMIF(A:A,A3,F:F)</f>
        <v>45</v>
      </c>
      <c r="N3" s="7" t="str">
        <f>IF(O3=""," ",VLOOKUP(O3,'[8]2012 личен състав ОТД'!$A:$AO,2,FALSE))</f>
        <v>доц. д-р Желязка Райкова</v>
      </c>
      <c r="O3" s="3" t="s">
        <v>445</v>
      </c>
      <c r="P3" s="7">
        <f>IF(O3=""," ",VLOOKUP(O3,'[8]2012 личен състав ОТД'!$A:$AO,13,FALSE))</f>
        <v>1967</v>
      </c>
      <c r="Q3" s="7" t="str">
        <f>IF(O3=""," ",VLOOKUP(O3,'[8]2012 личен състав ОТД'!$A:$AO,12,FALSE))</f>
        <v>ОТД</v>
      </c>
      <c r="R3" s="7" t="str">
        <f>IF(A3=""," ",VLOOKUP(A3,'Профилиращ лист'!A:B,2,FALSE))</f>
        <v>ОИД</v>
      </c>
      <c r="T3" s="7">
        <f t="shared" ref="T3:T34" ca="1" si="3">Години-P3</f>
        <v>46</v>
      </c>
    </row>
    <row r="4" spans="1:31" ht="15.95" customHeight="1" x14ac:dyDescent="0.25">
      <c r="A4" s="8" t="s">
        <v>17</v>
      </c>
      <c r="B4" s="8">
        <v>30</v>
      </c>
      <c r="C4" s="4">
        <v>30</v>
      </c>
      <c r="D4" s="4">
        <v>0</v>
      </c>
      <c r="E4" s="4">
        <v>30</v>
      </c>
      <c r="F4" s="4">
        <f>C4-D4-E4</f>
        <v>0</v>
      </c>
      <c r="G4" s="4">
        <f t="shared" ref="G4:G12" si="4">H4-C4</f>
        <v>30</v>
      </c>
      <c r="H4" s="4">
        <f t="shared" ref="H4:H12" si="5">I4*30</f>
        <v>60</v>
      </c>
      <c r="I4" s="4">
        <v>2</v>
      </c>
      <c r="J4" s="4" t="s">
        <v>18</v>
      </c>
      <c r="K4" s="73">
        <f t="shared" si="0"/>
        <v>30</v>
      </c>
      <c r="L4" s="73">
        <f t="shared" si="1"/>
        <v>0</v>
      </c>
      <c r="M4" s="73">
        <f t="shared" si="2"/>
        <v>30</v>
      </c>
      <c r="N4" s="7" t="str">
        <f>IF(O4=""," ",VLOOKUP(O4,'[8]2012 личен състав ОТД'!$A:$AO,2,FALSE))</f>
        <v xml:space="preserve"> </v>
      </c>
      <c r="O4" s="3"/>
      <c r="P4" s="7" t="str">
        <f>IF(O4=""," ",VLOOKUP(O4,'[8]2012 личен състав ОТД'!$A:$AO,13,FALSE))</f>
        <v xml:space="preserve"> </v>
      </c>
      <c r="Q4" s="7" t="str">
        <f>IF(O4=""," ",VLOOKUP(O4,'[8]2012 личен състав ОТД'!$A:$AO,12,FALSE))</f>
        <v xml:space="preserve"> </v>
      </c>
      <c r="R4" s="7" t="str">
        <f>IF(A4=""," ",VLOOKUP(A4,'Профилиращ лист'!A:B,2,FALSE))</f>
        <v>ИЗБ</v>
      </c>
      <c r="T4" s="7" t="e">
        <f t="shared" ca="1" si="3"/>
        <v>#VALUE!</v>
      </c>
      <c r="V4" s="7">
        <f>COUNTIF(N:N,"проф.*")</f>
        <v>6</v>
      </c>
      <c r="W4" s="7">
        <f>COUNTIF(N:N,"доц.*")</f>
        <v>24</v>
      </c>
      <c r="X4" s="7">
        <f>COUNTIF(N:N,"*ас. д-р*")</f>
        <v>14</v>
      </c>
      <c r="Y4" s="7">
        <f>COUNTIF(N:N,"гл. ас.*")-X4</f>
        <v>0</v>
      </c>
      <c r="Z4" s="7">
        <f>COUNTIF(N:N,"ас.*")</f>
        <v>0</v>
      </c>
      <c r="AA4" s="7">
        <f>SUM(V4:Z4)</f>
        <v>44</v>
      </c>
    </row>
    <row r="5" spans="1:31" ht="15.95" customHeight="1" x14ac:dyDescent="0.25">
      <c r="A5" s="8" t="s">
        <v>11</v>
      </c>
      <c r="B5" s="4">
        <v>30</v>
      </c>
      <c r="C5" s="4">
        <v>30</v>
      </c>
      <c r="D5" s="4">
        <v>30</v>
      </c>
      <c r="E5" s="4">
        <v>0</v>
      </c>
      <c r="F5" s="4">
        <v>0</v>
      </c>
      <c r="G5" s="4">
        <f t="shared" si="4"/>
        <v>60</v>
      </c>
      <c r="H5" s="4">
        <f t="shared" si="5"/>
        <v>90</v>
      </c>
      <c r="I5" s="4">
        <v>3</v>
      </c>
      <c r="J5" s="4" t="s">
        <v>12</v>
      </c>
      <c r="K5" s="73">
        <f t="shared" si="0"/>
        <v>30</v>
      </c>
      <c r="L5" s="73">
        <f t="shared" si="1"/>
        <v>30</v>
      </c>
      <c r="M5" s="73">
        <f t="shared" si="2"/>
        <v>0</v>
      </c>
      <c r="N5" s="7" t="str">
        <f>IF(O5=""," ",VLOOKUP(O5,'[8]2012 личен състав ОТД'!$A:$AO,2,FALSE))</f>
        <v>доц. д-р Красимира Кръстанова</v>
      </c>
      <c r="O5" s="3" t="s">
        <v>455</v>
      </c>
      <c r="P5" s="7">
        <f>IF(O5=""," ",VLOOKUP(O5,'[8]2012 личен състав ОТД'!$A:$AO,13,FALSE))</f>
        <v>1958</v>
      </c>
      <c r="Q5" s="7" t="str">
        <f>IF(O5=""," ",VLOOKUP(O5,'[8]2012 личен състав ОТД'!$A:$AO,12,FALSE))</f>
        <v>ОТД</v>
      </c>
      <c r="R5" s="7" t="str">
        <f>IF(A5=""," ",VLOOKUP(A5,'Профилиращ лист'!A:B,2,FALSE))</f>
        <v>СПЕ</v>
      </c>
      <c r="T5" s="7">
        <f t="shared" ca="1" si="3"/>
        <v>55</v>
      </c>
    </row>
    <row r="6" spans="1:31" ht="15.95" customHeight="1" x14ac:dyDescent="0.25">
      <c r="A6" s="8" t="s">
        <v>28</v>
      </c>
      <c r="B6" s="4">
        <v>15</v>
      </c>
      <c r="C6" s="4">
        <v>15</v>
      </c>
      <c r="D6" s="4">
        <v>0</v>
      </c>
      <c r="E6" s="4">
        <v>0</v>
      </c>
      <c r="F6" s="4">
        <v>15</v>
      </c>
      <c r="G6" s="4">
        <f t="shared" si="4"/>
        <v>45</v>
      </c>
      <c r="H6" s="4">
        <f t="shared" si="5"/>
        <v>60</v>
      </c>
      <c r="I6" s="4">
        <v>2</v>
      </c>
      <c r="J6" s="4" t="s">
        <v>18</v>
      </c>
      <c r="K6" s="73">
        <f t="shared" si="0"/>
        <v>15</v>
      </c>
      <c r="L6" s="73">
        <f t="shared" si="1"/>
        <v>0</v>
      </c>
      <c r="M6" s="73">
        <f t="shared" si="2"/>
        <v>15</v>
      </c>
      <c r="N6" s="7" t="str">
        <f>IF(O6=""," ",VLOOKUP(O6,'[8]2012 личен състав ОТД'!$A:$AO,2,FALSE))</f>
        <v xml:space="preserve"> </v>
      </c>
      <c r="O6" s="3"/>
      <c r="P6" s="7" t="str">
        <f>IF(O6=""," ",VLOOKUP(O6,'[8]2012 личен състав ОТД'!$A:$AO,13,FALSE))</f>
        <v xml:space="preserve"> </v>
      </c>
      <c r="Q6" s="7" t="str">
        <f>IF(O6=""," ",VLOOKUP(O6,'[8]2012 личен състав ОТД'!$A:$AO,12,FALSE))</f>
        <v xml:space="preserve"> </v>
      </c>
      <c r="R6" s="7" t="str">
        <f>IF(A6=""," ",VLOOKUP(A6,'Профилиращ лист'!A:B,2,FALSE))</f>
        <v>ПЕД</v>
      </c>
      <c r="T6" s="7" t="e">
        <f t="shared" ca="1" si="3"/>
        <v>#VALUE!</v>
      </c>
    </row>
    <row r="7" spans="1:31" ht="15.95" customHeight="1" x14ac:dyDescent="0.25">
      <c r="A7" s="5" t="s">
        <v>83</v>
      </c>
      <c r="B7" s="5">
        <v>30</v>
      </c>
      <c r="C7" s="4">
        <v>30</v>
      </c>
      <c r="D7" s="4">
        <v>30</v>
      </c>
      <c r="E7" s="4">
        <v>0</v>
      </c>
      <c r="F7" s="4">
        <f>C7-D7-E7</f>
        <v>0</v>
      </c>
      <c r="G7" s="4">
        <f t="shared" si="4"/>
        <v>30</v>
      </c>
      <c r="H7" s="4">
        <f t="shared" si="5"/>
        <v>60</v>
      </c>
      <c r="I7" s="4">
        <v>2</v>
      </c>
      <c r="J7" s="6" t="s">
        <v>12</v>
      </c>
      <c r="K7" s="73">
        <f t="shared" si="0"/>
        <v>30</v>
      </c>
      <c r="L7" s="73">
        <f t="shared" si="1"/>
        <v>30</v>
      </c>
      <c r="M7" s="73">
        <f t="shared" si="2"/>
        <v>0</v>
      </c>
      <c r="N7" s="7" t="str">
        <f>IF(O7=""," ",VLOOKUP(O7,'[8]2012 личен състав ОТД'!$A:$AO,2,FALSE))</f>
        <v>гл. ас. д-р Аделина Странджева</v>
      </c>
      <c r="O7" s="3" t="s">
        <v>456</v>
      </c>
      <c r="P7" s="7">
        <f>IF(O7=""," ",VLOOKUP(O7,'[8]2012 личен състав ОТД'!$A:$AO,13,FALSE))</f>
        <v>1960</v>
      </c>
      <c r="Q7" s="7" t="str">
        <f>IF(O7=""," ",VLOOKUP(O7,'[8]2012 личен състав ОТД'!$A:$AO,12,FALSE))</f>
        <v>ОТД</v>
      </c>
      <c r="R7" s="7" t="str">
        <f>IF(A7=""," ",VLOOKUP(A7,'Профилиращ лист'!A:B,2,FALSE))</f>
        <v>ИЗБ</v>
      </c>
      <c r="T7" s="7">
        <f t="shared" ca="1" si="3"/>
        <v>53</v>
      </c>
    </row>
    <row r="8" spans="1:31" ht="15.95" customHeight="1" x14ac:dyDescent="0.25">
      <c r="A8" s="8" t="s">
        <v>84</v>
      </c>
      <c r="B8" s="8">
        <v>45</v>
      </c>
      <c r="C8" s="4">
        <v>45</v>
      </c>
      <c r="D8" s="4">
        <v>15</v>
      </c>
      <c r="E8" s="4">
        <v>30</v>
      </c>
      <c r="F8" s="4">
        <f>C8-D8-E8</f>
        <v>0</v>
      </c>
      <c r="G8" s="4">
        <f t="shared" si="4"/>
        <v>45</v>
      </c>
      <c r="H8" s="4">
        <f t="shared" si="5"/>
        <v>90</v>
      </c>
      <c r="I8" s="4">
        <v>3</v>
      </c>
      <c r="J8" s="4" t="s">
        <v>14</v>
      </c>
      <c r="K8" s="73">
        <f t="shared" si="0"/>
        <v>105</v>
      </c>
      <c r="L8" s="73">
        <f t="shared" si="1"/>
        <v>45</v>
      </c>
      <c r="M8" s="73">
        <f t="shared" si="2"/>
        <v>60</v>
      </c>
      <c r="N8" s="7" t="str">
        <f>IF(O8=""," ",VLOOKUP(O8,'[8]2012 личен състав ОТД'!$A:$AO,2,FALSE))</f>
        <v xml:space="preserve"> </v>
      </c>
      <c r="O8" s="3"/>
      <c r="P8" s="7" t="str">
        <f>IF(O8=""," ",VLOOKUP(O8,'[8]2012 личен състав ОТД'!$A:$AO,13,FALSE))</f>
        <v xml:space="preserve"> </v>
      </c>
      <c r="Q8" s="7" t="str">
        <f>IF(O8=""," ",VLOOKUP(O8,'[8]2012 личен състав ОТД'!$A:$AO,12,FALSE))</f>
        <v xml:space="preserve"> </v>
      </c>
      <c r="R8" s="7" t="str">
        <f>IF(A8=""," ",VLOOKUP(A8,'Профилиращ лист'!A:B,2,FALSE))</f>
        <v>ОИД</v>
      </c>
      <c r="T8" s="7" t="e">
        <f t="shared" ca="1" si="3"/>
        <v>#VALUE!</v>
      </c>
    </row>
    <row r="9" spans="1:31" ht="15.95" customHeight="1" x14ac:dyDescent="0.25">
      <c r="A9" s="8" t="s">
        <v>13</v>
      </c>
      <c r="B9" s="4">
        <v>45</v>
      </c>
      <c r="C9" s="4">
        <v>45</v>
      </c>
      <c r="D9" s="4">
        <v>15</v>
      </c>
      <c r="E9" s="4">
        <v>30</v>
      </c>
      <c r="F9" s="4">
        <v>0</v>
      </c>
      <c r="G9" s="4">
        <f t="shared" si="4"/>
        <v>75</v>
      </c>
      <c r="H9" s="4">
        <f t="shared" si="5"/>
        <v>120</v>
      </c>
      <c r="I9" s="4">
        <v>4</v>
      </c>
      <c r="J9" s="4" t="s">
        <v>14</v>
      </c>
      <c r="K9" s="73">
        <f t="shared" si="0"/>
        <v>90</v>
      </c>
      <c r="L9" s="73">
        <f t="shared" si="1"/>
        <v>30</v>
      </c>
      <c r="M9" s="73">
        <f t="shared" si="2"/>
        <v>60</v>
      </c>
      <c r="N9" s="7" t="str">
        <f>IF(O9=""," ",VLOOKUP(O9,'[8]2012 личен състав ОТД'!$A:$AO,2,FALSE))</f>
        <v xml:space="preserve"> </v>
      </c>
      <c r="O9" s="3"/>
      <c r="P9" s="7" t="str">
        <f>IF(O9=""," ",VLOOKUP(O9,'[8]2012 личен състав ОТД'!$A:$AO,13,FALSE))</f>
        <v xml:space="preserve"> </v>
      </c>
      <c r="Q9" s="7" t="str">
        <f>IF(O9=""," ",VLOOKUP(O9,'[8]2012 личен състав ОТД'!$A:$AO,12,FALSE))</f>
        <v xml:space="preserve"> </v>
      </c>
      <c r="R9" s="7" t="str">
        <f>IF(A9=""," ",VLOOKUP(A9,'Профилиращ лист'!A:B,2,FALSE))</f>
        <v>ОФД</v>
      </c>
      <c r="T9" s="7" t="e">
        <f t="shared" ca="1" si="3"/>
        <v>#VALUE!</v>
      </c>
    </row>
    <row r="10" spans="1:31" ht="15.95" customHeight="1" x14ac:dyDescent="0.25">
      <c r="A10" s="8" t="s">
        <v>85</v>
      </c>
      <c r="B10" s="8">
        <v>15</v>
      </c>
      <c r="C10" s="4">
        <v>15</v>
      </c>
      <c r="D10" s="4">
        <v>15</v>
      </c>
      <c r="E10" s="4">
        <v>0</v>
      </c>
      <c r="F10" s="4">
        <f>C10-D10-E10</f>
        <v>0</v>
      </c>
      <c r="G10" s="4">
        <f t="shared" si="4"/>
        <v>45</v>
      </c>
      <c r="H10" s="4">
        <f t="shared" si="5"/>
        <v>60</v>
      </c>
      <c r="I10" s="4">
        <v>2</v>
      </c>
      <c r="J10" s="6" t="s">
        <v>12</v>
      </c>
      <c r="K10" s="73">
        <f t="shared" si="0"/>
        <v>15</v>
      </c>
      <c r="L10" s="73">
        <f t="shared" si="1"/>
        <v>15</v>
      </c>
      <c r="M10" s="73">
        <f t="shared" si="2"/>
        <v>0</v>
      </c>
      <c r="N10" s="7" t="str">
        <f>IF(O10=""," ",VLOOKUP(O10,'[8]2012 личен състав ОТД'!$A:$AO,2,FALSE))</f>
        <v>доц. д-р Георги Митрев</v>
      </c>
      <c r="O10" s="3" t="s">
        <v>457</v>
      </c>
      <c r="P10" s="7">
        <f>IF(O10=""," ",VLOOKUP(O10,'[8]2012 личен състав ОТД'!$A:$AO,13,FALSE))</f>
        <v>1963</v>
      </c>
      <c r="Q10" s="7" t="str">
        <f>IF(O10=""," ",VLOOKUP(O10,'[8]2012 личен състав ОТД'!$A:$AO,12,FALSE))</f>
        <v>ОТД</v>
      </c>
      <c r="R10" s="7" t="str">
        <f>IF(A10=""," ",VLOOKUP(A10,'Профилиращ лист'!A:B,2,FALSE))</f>
        <v>ОИД</v>
      </c>
      <c r="T10" s="7">
        <f t="shared" ca="1" si="3"/>
        <v>50</v>
      </c>
    </row>
    <row r="11" spans="1:31" ht="15.95" customHeight="1" x14ac:dyDescent="0.25">
      <c r="A11" s="8" t="s">
        <v>19</v>
      </c>
      <c r="B11" s="4">
        <v>45</v>
      </c>
      <c r="C11" s="4">
        <v>60</v>
      </c>
      <c r="D11" s="4">
        <v>45</v>
      </c>
      <c r="E11" s="4">
        <v>15</v>
      </c>
      <c r="F11" s="4">
        <v>0</v>
      </c>
      <c r="G11" s="4">
        <f t="shared" si="4"/>
        <v>60</v>
      </c>
      <c r="H11" s="4">
        <f t="shared" si="5"/>
        <v>120</v>
      </c>
      <c r="I11" s="4">
        <v>4</v>
      </c>
      <c r="J11" s="4" t="s">
        <v>12</v>
      </c>
      <c r="K11" s="73">
        <f t="shared" si="0"/>
        <v>60</v>
      </c>
      <c r="L11" s="73">
        <f t="shared" si="1"/>
        <v>45</v>
      </c>
      <c r="M11" s="73">
        <f t="shared" si="2"/>
        <v>15</v>
      </c>
      <c r="N11" s="7" t="str">
        <f>IF(O11=""," ",VLOOKUP(O11,'[8]2012 личен състав ОТД'!$A:$AO,2,FALSE))</f>
        <v>проф. д-р Запрян Козлуджов</v>
      </c>
      <c r="O11" s="3" t="s">
        <v>458</v>
      </c>
      <c r="P11" s="7">
        <f>IF(O11=""," ",VLOOKUP(O11,'[8]2012 личен състав ОТД'!$A:$AO,13,FALSE))</f>
        <v>1959</v>
      </c>
      <c r="Q11" s="7" t="str">
        <f>IF(O11=""," ",VLOOKUP(O11,'[8]2012 личен състав ОТД'!$A:$AO,12,FALSE))</f>
        <v>ОТД</v>
      </c>
      <c r="R11" s="7" t="str">
        <f>IF(A11=""," ",VLOOKUP(A11,'Профилиращ лист'!A:B,2,FALSE))</f>
        <v>ОФД</v>
      </c>
      <c r="T11" s="7">
        <f t="shared" ca="1" si="3"/>
        <v>54</v>
      </c>
    </row>
    <row r="12" spans="1:31" ht="15.95" customHeight="1" x14ac:dyDescent="0.25">
      <c r="A12" s="8" t="s">
        <v>20</v>
      </c>
      <c r="B12" s="4">
        <v>45</v>
      </c>
      <c r="C12" s="4">
        <v>60</v>
      </c>
      <c r="D12" s="4">
        <v>45</v>
      </c>
      <c r="E12" s="4">
        <v>15</v>
      </c>
      <c r="F12" s="4">
        <v>0</v>
      </c>
      <c r="G12" s="4">
        <f t="shared" si="4"/>
        <v>60</v>
      </c>
      <c r="H12" s="4">
        <f t="shared" si="5"/>
        <v>120</v>
      </c>
      <c r="I12" s="4">
        <v>4</v>
      </c>
      <c r="J12" s="4" t="s">
        <v>12</v>
      </c>
      <c r="K12" s="73">
        <f t="shared" si="0"/>
        <v>60</v>
      </c>
      <c r="L12" s="73">
        <f t="shared" si="1"/>
        <v>45</v>
      </c>
      <c r="M12" s="73">
        <f t="shared" si="2"/>
        <v>15</v>
      </c>
      <c r="N12" s="7" t="str">
        <f>IF(O12=""," ",VLOOKUP(O12,'[8]2012 личен състав ОТД'!$A:$AO,2,FALSE))</f>
        <v>доц. д-р Иван Чобанов</v>
      </c>
      <c r="O12" s="3" t="s">
        <v>459</v>
      </c>
      <c r="P12" s="7">
        <f>IF(O12=""," ",VLOOKUP(O12,'[8]2012 личен състав ОТД'!$A:$AO,13,FALSE))</f>
        <v>1949</v>
      </c>
      <c r="Q12" s="7" t="str">
        <f>IF(O12=""," ",VLOOKUP(O12,'[8]2012 личен състав ОТД'!$A:$AO,12,FALSE))</f>
        <v>ОТД</v>
      </c>
      <c r="R12" s="7" t="str">
        <f>IF(A12=""," ",VLOOKUP(A12,'Профилиращ лист'!A:B,2,FALSE))</f>
        <v>ОФД</v>
      </c>
      <c r="T12" s="7">
        <f t="shared" ca="1" si="3"/>
        <v>64</v>
      </c>
    </row>
    <row r="13" spans="1:31" ht="15.95" customHeight="1" x14ac:dyDescent="0.25">
      <c r="B13" s="9">
        <f t="shared" ref="B13:I13" si="6">SUM(B3:B12)</f>
        <v>360</v>
      </c>
      <c r="C13" s="9">
        <f t="shared" si="6"/>
        <v>390</v>
      </c>
      <c r="D13" s="9">
        <f t="shared" si="6"/>
        <v>225</v>
      </c>
      <c r="E13" s="9">
        <f t="shared" si="6"/>
        <v>150</v>
      </c>
      <c r="F13" s="9">
        <f t="shared" si="6"/>
        <v>15</v>
      </c>
      <c r="G13" s="9">
        <f t="shared" si="6"/>
        <v>510</v>
      </c>
      <c r="H13" s="9">
        <f t="shared" si="6"/>
        <v>900</v>
      </c>
      <c r="I13" s="9">
        <f t="shared" si="6"/>
        <v>30</v>
      </c>
      <c r="J13" s="6"/>
      <c r="K13" s="73">
        <f t="shared" si="0"/>
        <v>0</v>
      </c>
      <c r="L13" s="73">
        <f t="shared" si="1"/>
        <v>0</v>
      </c>
      <c r="M13" s="73">
        <f t="shared" si="2"/>
        <v>0</v>
      </c>
      <c r="N13" s="7" t="str">
        <f>IF(O13=""," ",VLOOKUP(O13,'[8]2012 личен състав ОТД'!$A:$AO,2,FALSE))</f>
        <v xml:space="preserve"> </v>
      </c>
      <c r="O13" s="3"/>
      <c r="P13" s="7" t="str">
        <f>IF(O13=""," ",VLOOKUP(O13,'[8]2012 личен състав ОТД'!$A:$AO,13,FALSE))</f>
        <v xml:space="preserve"> </v>
      </c>
      <c r="Q13" s="7" t="str">
        <f>IF(O13=""," ",VLOOKUP(O13,'[8]2012 личен състав ОТД'!$A:$AO,12,FALSE))</f>
        <v xml:space="preserve"> </v>
      </c>
      <c r="R13" s="7" t="str">
        <f>IF(A13=""," ",VLOOKUP(A13,'Профилиращ лист'!A:B,2,FALSE))</f>
        <v xml:space="preserve"> </v>
      </c>
      <c r="T13" s="7" t="e">
        <f t="shared" ca="1" si="3"/>
        <v>#VALUE!</v>
      </c>
    </row>
    <row r="14" spans="1:31" ht="15.95" customHeight="1" x14ac:dyDescent="0.25">
      <c r="A14" s="1" t="s">
        <v>22</v>
      </c>
      <c r="B14" s="1"/>
      <c r="J14" s="6"/>
      <c r="K14" s="73">
        <f t="shared" si="0"/>
        <v>0</v>
      </c>
      <c r="L14" s="73">
        <f t="shared" si="1"/>
        <v>0</v>
      </c>
      <c r="M14" s="73">
        <f t="shared" si="2"/>
        <v>0</v>
      </c>
      <c r="N14" s="7" t="str">
        <f>IF(O14=""," ",VLOOKUP(O14,'[8]2012 личен състав ОТД'!$A:$AO,2,FALSE))</f>
        <v xml:space="preserve"> </v>
      </c>
      <c r="O14" s="3"/>
      <c r="P14" s="7" t="str">
        <f>IF(O14=""," ",VLOOKUP(O14,'[8]2012 личен състав ОТД'!$A:$AO,13,FALSE))</f>
        <v xml:space="preserve"> </v>
      </c>
      <c r="Q14" s="7" t="str">
        <f>IF(O14=""," ",VLOOKUP(O14,'[8]2012 личен състав ОТД'!$A:$AO,12,FALSE))</f>
        <v xml:space="preserve"> </v>
      </c>
      <c r="R14" s="7" t="e">
        <f>IF(A14=""," ",VLOOKUP(A14,'Профилиращ лист'!A:B,2,FALSE))</f>
        <v>#N/A</v>
      </c>
      <c r="T14" s="7" t="e">
        <f t="shared" ca="1" si="3"/>
        <v>#VALUE!</v>
      </c>
    </row>
    <row r="15" spans="1:31" ht="15.95" customHeight="1" x14ac:dyDescent="0.25">
      <c r="A15" s="8" t="s">
        <v>82</v>
      </c>
      <c r="B15" s="8">
        <v>45</v>
      </c>
      <c r="C15" s="4">
        <v>45</v>
      </c>
      <c r="D15" s="4">
        <v>30</v>
      </c>
      <c r="E15" s="4">
        <v>15</v>
      </c>
      <c r="F15" s="4">
        <f>C15-D15-E15</f>
        <v>0</v>
      </c>
      <c r="G15" s="4">
        <f>H15-C15</f>
        <v>15</v>
      </c>
      <c r="H15" s="4">
        <f>I15*30</f>
        <v>60</v>
      </c>
      <c r="I15" s="4">
        <v>2</v>
      </c>
      <c r="J15" s="6" t="s">
        <v>12</v>
      </c>
      <c r="K15" s="73">
        <f t="shared" si="0"/>
        <v>105</v>
      </c>
      <c r="L15" s="73">
        <f t="shared" si="1"/>
        <v>60</v>
      </c>
      <c r="M15" s="73">
        <f t="shared" si="2"/>
        <v>45</v>
      </c>
      <c r="N15" s="7" t="str">
        <f>IF(O15=""," ",VLOOKUP(O15,'[8]2012 личен състав ОТД'!$A:$AO,2,FALSE))</f>
        <v>доц. д-р Иван Джамбов</v>
      </c>
      <c r="O15" s="3" t="s">
        <v>452</v>
      </c>
      <c r="P15" s="7">
        <f>IF(O15=""," ",VLOOKUP(O15,'[8]2012 личен състав ОТД'!$A:$AO,13,FALSE))</f>
        <v>1949</v>
      </c>
      <c r="Q15" s="7" t="str">
        <f>IF(O15=""," ",VLOOKUP(O15,'[8]2012 личен състав ОТД'!$A:$AO,12,FALSE))</f>
        <v>ОТД</v>
      </c>
      <c r="R15" s="7" t="str">
        <f>IF(A15=""," ",VLOOKUP(A15,'Профилиращ лист'!A:B,2,FALSE))</f>
        <v>ОИД</v>
      </c>
      <c r="T15" s="7">
        <f t="shared" ca="1" si="3"/>
        <v>64</v>
      </c>
    </row>
    <row r="16" spans="1:31" ht="15.95" customHeight="1" x14ac:dyDescent="0.25">
      <c r="A16" s="8" t="s">
        <v>23</v>
      </c>
      <c r="B16" s="4">
        <v>45</v>
      </c>
      <c r="C16" s="4">
        <v>60</v>
      </c>
      <c r="D16" s="4">
        <v>45</v>
      </c>
      <c r="E16" s="4">
        <v>15</v>
      </c>
      <c r="F16" s="4">
        <v>0</v>
      </c>
      <c r="G16" s="4">
        <f t="shared" ref="G16:G23" si="7">H16-C16</f>
        <v>90</v>
      </c>
      <c r="H16" s="4">
        <f t="shared" ref="H16:H23" si="8">I16*30</f>
        <v>150</v>
      </c>
      <c r="I16" s="4">
        <v>5</v>
      </c>
      <c r="J16" s="4" t="s">
        <v>12</v>
      </c>
      <c r="K16" s="73">
        <f t="shared" si="0"/>
        <v>60</v>
      </c>
      <c r="L16" s="73">
        <f t="shared" si="1"/>
        <v>45</v>
      </c>
      <c r="M16" s="73">
        <f t="shared" si="2"/>
        <v>15</v>
      </c>
      <c r="N16" s="7" t="str">
        <f>IF(O16=""," ",VLOOKUP(O16,'[8]2012 личен състав ОТД'!$A:$AO,2,FALSE))</f>
        <v>доц. д-р Мария Йовчева</v>
      </c>
      <c r="O16" s="3" t="s">
        <v>460</v>
      </c>
      <c r="P16" s="7">
        <f>IF(O16=""," ",VLOOKUP(O16,'[8]2012 личен състав ОТД'!$A:$AO,13,FALSE))</f>
        <v>1959</v>
      </c>
      <c r="Q16" s="7" t="str">
        <f>IF(O16=""," ",VLOOKUP(O16,'[8]2012 личен състав ОТД'!$A:$AO,12,FALSE))</f>
        <v>ОТД</v>
      </c>
      <c r="R16" s="7" t="str">
        <f>IF(A16=""," ",VLOOKUP(A16,'Профилиращ лист'!A:B,2,FALSE))</f>
        <v>СПЕ</v>
      </c>
      <c r="T16" s="7">
        <f t="shared" ca="1" si="3"/>
        <v>54</v>
      </c>
    </row>
    <row r="17" spans="1:20" ht="15.95" customHeight="1" x14ac:dyDescent="0.25">
      <c r="A17" s="8" t="s">
        <v>13</v>
      </c>
      <c r="B17" s="4">
        <v>30</v>
      </c>
      <c r="C17" s="4">
        <v>45</v>
      </c>
      <c r="D17" s="4">
        <v>15</v>
      </c>
      <c r="E17" s="4">
        <v>30</v>
      </c>
      <c r="F17" s="4">
        <v>0</v>
      </c>
      <c r="G17" s="4">
        <f t="shared" si="7"/>
        <v>75</v>
      </c>
      <c r="H17" s="4">
        <f t="shared" si="8"/>
        <v>120</v>
      </c>
      <c r="I17" s="4">
        <v>4</v>
      </c>
      <c r="J17" s="4" t="s">
        <v>12</v>
      </c>
      <c r="K17" s="73">
        <f t="shared" si="0"/>
        <v>90</v>
      </c>
      <c r="L17" s="73">
        <f t="shared" si="1"/>
        <v>30</v>
      </c>
      <c r="M17" s="73">
        <f t="shared" si="2"/>
        <v>60</v>
      </c>
      <c r="N17" s="7" t="str">
        <f>IF(O17=""," ",VLOOKUP(O17,'[8]2012 личен състав ОТД'!$A:$AO,2,FALSE))</f>
        <v>доц. д-р Христина Тончева</v>
      </c>
      <c r="O17" s="3" t="s">
        <v>461</v>
      </c>
      <c r="P17" s="7">
        <f>IF(O17=""," ",VLOOKUP(O17,'[8]2012 личен състав ОТД'!$A:$AO,13,FALSE))</f>
        <v>1968</v>
      </c>
      <c r="Q17" s="7" t="str">
        <f>IF(O17=""," ",VLOOKUP(O17,'[8]2012 личен състав ОТД'!$A:$AO,12,FALSE))</f>
        <v>ОТД</v>
      </c>
      <c r="R17" s="7" t="str">
        <f>IF(A17=""," ",VLOOKUP(A17,'Профилиращ лист'!A:B,2,FALSE))</f>
        <v>ОФД</v>
      </c>
      <c r="T17" s="7">
        <f t="shared" ca="1" si="3"/>
        <v>45</v>
      </c>
    </row>
    <row r="18" spans="1:20" ht="15.95" customHeight="1" x14ac:dyDescent="0.25">
      <c r="A18" s="8" t="s">
        <v>87</v>
      </c>
      <c r="B18" s="8">
        <v>60</v>
      </c>
      <c r="C18" s="4">
        <v>60</v>
      </c>
      <c r="D18" s="4">
        <v>30</v>
      </c>
      <c r="E18" s="4">
        <v>30</v>
      </c>
      <c r="F18" s="4">
        <f>C18-D18-E18</f>
        <v>0</v>
      </c>
      <c r="G18" s="4">
        <f t="shared" si="7"/>
        <v>90</v>
      </c>
      <c r="H18" s="4">
        <f t="shared" si="8"/>
        <v>150</v>
      </c>
      <c r="I18" s="4">
        <v>5</v>
      </c>
      <c r="J18" s="4" t="s">
        <v>14</v>
      </c>
      <c r="K18" s="73">
        <f t="shared" si="0"/>
        <v>120</v>
      </c>
      <c r="L18" s="73">
        <f t="shared" si="1"/>
        <v>60</v>
      </c>
      <c r="M18" s="73">
        <f t="shared" si="2"/>
        <v>60</v>
      </c>
      <c r="N18" s="7" t="str">
        <f>IF(O18=""," ",VLOOKUP(O18,'[8]2012 личен състав ОТД'!$A:$AO,2,FALSE))</f>
        <v xml:space="preserve"> </v>
      </c>
      <c r="O18" s="3"/>
      <c r="P18" s="7" t="str">
        <f>IF(O18=""," ",VLOOKUP(O18,'[8]2012 личен състав ОТД'!$A:$AO,13,FALSE))</f>
        <v xml:space="preserve"> </v>
      </c>
      <c r="Q18" s="7" t="str">
        <f>IF(O18=""," ",VLOOKUP(O18,'[8]2012 личен състав ОТД'!$A:$AO,12,FALSE))</f>
        <v xml:space="preserve"> </v>
      </c>
      <c r="R18" s="7" t="str">
        <f>IF(A18=""," ",VLOOKUP(A18,'Профилиращ лист'!A:B,2,FALSE))</f>
        <v>СПЕ</v>
      </c>
      <c r="T18" s="7" t="e">
        <f t="shared" ca="1" si="3"/>
        <v>#VALUE!</v>
      </c>
    </row>
    <row r="19" spans="1:20" ht="15.95" customHeight="1" x14ac:dyDescent="0.25">
      <c r="A19" s="8" t="s">
        <v>88</v>
      </c>
      <c r="B19" s="8">
        <v>30</v>
      </c>
      <c r="C19" s="4">
        <v>30</v>
      </c>
      <c r="D19" s="4">
        <v>30</v>
      </c>
      <c r="E19" s="4">
        <v>0</v>
      </c>
      <c r="F19" s="4">
        <f>C19-D19-E19</f>
        <v>0</v>
      </c>
      <c r="G19" s="4">
        <f t="shared" si="7"/>
        <v>60</v>
      </c>
      <c r="H19" s="4">
        <f t="shared" si="8"/>
        <v>90</v>
      </c>
      <c r="I19" s="4">
        <v>3</v>
      </c>
      <c r="J19" s="4" t="s">
        <v>12</v>
      </c>
      <c r="K19" s="73">
        <f t="shared" si="0"/>
        <v>30</v>
      </c>
      <c r="L19" s="73">
        <f t="shared" si="1"/>
        <v>30</v>
      </c>
      <c r="M19" s="73">
        <f t="shared" si="2"/>
        <v>0</v>
      </c>
      <c r="N19" s="7" t="str">
        <f>IF(O19=""," ",VLOOKUP(O19,'[8]2012 личен състав ОТД'!$A:$AO,2,FALSE))</f>
        <v>доц. д-р Станка Козарова</v>
      </c>
      <c r="O19" s="3" t="s">
        <v>462</v>
      </c>
      <c r="P19" s="7">
        <f>IF(O19=""," ",VLOOKUP(O19,'[8]2012 личен състав ОТД'!$A:$AO,13,FALSE))</f>
        <v>1959</v>
      </c>
      <c r="Q19" s="7" t="str">
        <f>IF(O19=""," ",VLOOKUP(O19,'[8]2012 личен състав ОТД'!$A:$AO,12,FALSE))</f>
        <v>ОТД</v>
      </c>
      <c r="R19" s="7" t="str">
        <f>IF(A19=""," ",VLOOKUP(A19,'Профилиращ лист'!A:B,2,FALSE))</f>
        <v>ИЗБ</v>
      </c>
      <c r="T19" s="7">
        <f t="shared" ca="1" si="3"/>
        <v>54</v>
      </c>
    </row>
    <row r="20" spans="1:20" ht="15.95" customHeight="1" x14ac:dyDescent="0.25">
      <c r="A20" s="8" t="s">
        <v>84</v>
      </c>
      <c r="B20" s="8">
        <v>60</v>
      </c>
      <c r="C20" s="4">
        <v>60</v>
      </c>
      <c r="D20" s="4">
        <v>30</v>
      </c>
      <c r="E20" s="4">
        <v>30</v>
      </c>
      <c r="F20" s="4">
        <f>C20-D20-E20</f>
        <v>0</v>
      </c>
      <c r="G20" s="4">
        <f t="shared" si="7"/>
        <v>60</v>
      </c>
      <c r="H20" s="4">
        <f t="shared" si="8"/>
        <v>120</v>
      </c>
      <c r="I20" s="4">
        <v>4</v>
      </c>
      <c r="J20" s="6" t="s">
        <v>12</v>
      </c>
      <c r="K20" s="73">
        <f t="shared" si="0"/>
        <v>105</v>
      </c>
      <c r="L20" s="73">
        <f t="shared" si="1"/>
        <v>45</v>
      </c>
      <c r="M20" s="73">
        <f t="shared" si="2"/>
        <v>60</v>
      </c>
      <c r="N20" s="7" t="str">
        <f>IF(O20=""," ",VLOOKUP(O20,'[8]2012 личен състав ОТД'!$A:$AO,2,FALSE))</f>
        <v>доц. д-р Георги Митрев</v>
      </c>
      <c r="O20" s="3" t="s">
        <v>457</v>
      </c>
      <c r="P20" s="7">
        <f>IF(O20=""," ",VLOOKUP(O20,'[8]2012 личен състав ОТД'!$A:$AO,13,FALSE))</f>
        <v>1963</v>
      </c>
      <c r="Q20" s="7" t="str">
        <f>IF(O20=""," ",VLOOKUP(O20,'[8]2012 личен състав ОТД'!$A:$AO,12,FALSE))</f>
        <v>ОТД</v>
      </c>
      <c r="R20" s="7" t="str">
        <f>IF(A20=""," ",VLOOKUP(A20,'Профилиращ лист'!A:B,2,FALSE))</f>
        <v>ОИД</v>
      </c>
      <c r="T20" s="7">
        <f t="shared" ca="1" si="3"/>
        <v>50</v>
      </c>
    </row>
    <row r="21" spans="1:20" ht="15.95" customHeight="1" x14ac:dyDescent="0.25">
      <c r="A21" s="8" t="s">
        <v>89</v>
      </c>
      <c r="B21" s="4">
        <v>30</v>
      </c>
      <c r="C21" s="4">
        <v>45</v>
      </c>
      <c r="D21" s="4">
        <v>30</v>
      </c>
      <c r="E21" s="4">
        <v>15</v>
      </c>
      <c r="F21" s="4">
        <v>0</v>
      </c>
      <c r="G21" s="4">
        <f t="shared" si="7"/>
        <v>45</v>
      </c>
      <c r="H21" s="4">
        <f t="shared" si="8"/>
        <v>90</v>
      </c>
      <c r="I21" s="4">
        <v>3</v>
      </c>
      <c r="J21" s="4" t="s">
        <v>12</v>
      </c>
      <c r="K21" s="73">
        <f t="shared" si="0"/>
        <v>45</v>
      </c>
      <c r="L21" s="73">
        <f t="shared" si="1"/>
        <v>30</v>
      </c>
      <c r="M21" s="73">
        <f t="shared" si="2"/>
        <v>15</v>
      </c>
      <c r="N21" s="7" t="str">
        <f>IF(O21=""," ",VLOOKUP(O21,'[8]2012 личен състав ОТД'!$A:$AO,2,FALSE))</f>
        <v>доц. д-р Ваня Зидарова</v>
      </c>
      <c r="O21" s="3" t="s">
        <v>454</v>
      </c>
      <c r="P21" s="7">
        <f>IF(O21=""," ",VLOOKUP(O21,'[8]2012 личен състав ОТД'!$A:$AO,13,FALSE))</f>
        <v>1959</v>
      </c>
      <c r="Q21" s="7" t="str">
        <f>IF(O21=""," ",VLOOKUP(O21,'[8]2012 личен състав ОТД'!$A:$AO,12,FALSE))</f>
        <v>ОТД</v>
      </c>
      <c r="R21" s="7" t="str">
        <f>IF(A21=""," ",VLOOKUP(A21,'Профилиращ лист'!A:B,2,FALSE))</f>
        <v>ОФД</v>
      </c>
      <c r="T21" s="7">
        <f t="shared" ca="1" si="3"/>
        <v>54</v>
      </c>
    </row>
    <row r="22" spans="1:20" ht="15.95" customHeight="1" x14ac:dyDescent="0.25">
      <c r="A22" s="8" t="s">
        <v>21</v>
      </c>
      <c r="B22" s="4">
        <v>15</v>
      </c>
      <c r="C22" s="4">
        <v>30</v>
      </c>
      <c r="D22" s="4">
        <v>0</v>
      </c>
      <c r="E22" s="4">
        <v>0</v>
      </c>
      <c r="F22" s="4">
        <v>30</v>
      </c>
      <c r="G22" s="4">
        <f t="shared" si="7"/>
        <v>30</v>
      </c>
      <c r="H22" s="4">
        <f t="shared" si="8"/>
        <v>60</v>
      </c>
      <c r="I22" s="4">
        <v>2</v>
      </c>
      <c r="J22" s="4" t="s">
        <v>18</v>
      </c>
      <c r="K22" s="73">
        <f t="shared" si="0"/>
        <v>30</v>
      </c>
      <c r="L22" s="73">
        <f t="shared" si="1"/>
        <v>0</v>
      </c>
      <c r="M22" s="73">
        <f t="shared" si="2"/>
        <v>30</v>
      </c>
      <c r="N22" s="7" t="str">
        <f>IF(O22=""," ",VLOOKUP(O22,'[8]2012 личен състав ОТД'!$A:$AO,2,FALSE))</f>
        <v xml:space="preserve"> </v>
      </c>
      <c r="O22" s="3"/>
      <c r="P22" s="7" t="str">
        <f>IF(O22=""," ",VLOOKUP(O22,'[8]2012 личен състав ОТД'!$A:$AO,13,FALSE))</f>
        <v xml:space="preserve"> </v>
      </c>
      <c r="Q22" s="7" t="str">
        <f>IF(O22=""," ",VLOOKUP(O22,'[8]2012 личен състав ОТД'!$A:$AO,12,FALSE))</f>
        <v xml:space="preserve"> </v>
      </c>
      <c r="R22" s="7" t="str">
        <f>IF(A22=""," ",VLOOKUP(A22,'Профилиращ лист'!A:B,2,FALSE))</f>
        <v>ФД</v>
      </c>
      <c r="T22" s="7" t="e">
        <f t="shared" ca="1" si="3"/>
        <v>#VALUE!</v>
      </c>
    </row>
    <row r="23" spans="1:20" ht="15.95" customHeight="1" x14ac:dyDescent="0.25">
      <c r="A23" s="8" t="s">
        <v>90</v>
      </c>
      <c r="B23" s="8">
        <v>15</v>
      </c>
      <c r="C23" s="4">
        <v>15</v>
      </c>
      <c r="D23" s="4">
        <v>15</v>
      </c>
      <c r="E23" s="4">
        <v>0</v>
      </c>
      <c r="F23" s="4">
        <f>C23-D23-E23</f>
        <v>0</v>
      </c>
      <c r="G23" s="4">
        <f t="shared" si="7"/>
        <v>45</v>
      </c>
      <c r="H23" s="4">
        <f t="shared" si="8"/>
        <v>60</v>
      </c>
      <c r="I23" s="4">
        <v>2</v>
      </c>
      <c r="J23" s="6" t="s">
        <v>12</v>
      </c>
      <c r="K23" s="73">
        <f t="shared" si="0"/>
        <v>15</v>
      </c>
      <c r="L23" s="73">
        <f t="shared" si="1"/>
        <v>15</v>
      </c>
      <c r="M23" s="73">
        <f t="shared" si="2"/>
        <v>0</v>
      </c>
      <c r="N23" s="7" t="str">
        <f>IF(O23=""," ",VLOOKUP(O23,'[8]2012 личен състав ОТД'!$A:$AO,2,FALSE))</f>
        <v>доц. д-р Георги Митрев</v>
      </c>
      <c r="O23" s="3" t="s">
        <v>457</v>
      </c>
      <c r="P23" s="7">
        <f>IF(O23=""," ",VLOOKUP(O23,'[8]2012 личен състав ОТД'!$A:$AO,13,FALSE))</f>
        <v>1963</v>
      </c>
      <c r="Q23" s="7" t="str">
        <f>IF(O23=""," ",VLOOKUP(O23,'[8]2012 личен състав ОТД'!$A:$AO,12,FALSE))</f>
        <v>ОТД</v>
      </c>
      <c r="R23" s="7" t="str">
        <f>IF(A23=""," ",VLOOKUP(A23,'Профилиращ лист'!A:B,2,FALSE))</f>
        <v>ОИД</v>
      </c>
      <c r="T23" s="7">
        <f t="shared" ca="1" si="3"/>
        <v>50</v>
      </c>
    </row>
    <row r="24" spans="1:20" ht="15.95" customHeight="1" x14ac:dyDescent="0.25">
      <c r="A24" s="8" t="s">
        <v>29</v>
      </c>
      <c r="B24" s="4">
        <v>30</v>
      </c>
      <c r="C24" s="4">
        <v>30</v>
      </c>
      <c r="D24" s="4">
        <v>0</v>
      </c>
      <c r="E24" s="4">
        <v>0</v>
      </c>
      <c r="F24" s="4">
        <v>30</v>
      </c>
      <c r="G24" s="4">
        <v>0</v>
      </c>
      <c r="H24" s="4">
        <v>0</v>
      </c>
      <c r="I24" s="4">
        <v>0</v>
      </c>
      <c r="J24" s="4" t="s">
        <v>14</v>
      </c>
      <c r="K24" s="73">
        <f t="shared" si="0"/>
        <v>60</v>
      </c>
      <c r="L24" s="73">
        <f t="shared" si="1"/>
        <v>0</v>
      </c>
      <c r="M24" s="73">
        <f t="shared" si="2"/>
        <v>60</v>
      </c>
      <c r="N24" s="7" t="str">
        <f>IF(O24=""," ",VLOOKUP(O24,'[8]2012 личен състав ОТД'!$A:$AO,2,FALSE))</f>
        <v xml:space="preserve"> </v>
      </c>
      <c r="O24" s="3"/>
      <c r="P24" s="7" t="str">
        <f>IF(O24=""," ",VLOOKUP(O24,'[8]2012 личен състав ОТД'!$A:$AO,13,FALSE))</f>
        <v xml:space="preserve"> </v>
      </c>
      <c r="Q24" s="7" t="str">
        <f>IF(O24=""," ",VLOOKUP(O24,'[8]2012 личен състав ОТД'!$A:$AO,12,FALSE))</f>
        <v xml:space="preserve"> </v>
      </c>
      <c r="R24" s="7" t="str">
        <f>IF(A24=""," ",VLOOKUP(A24,'Профилиращ лист'!A:B,2,FALSE))</f>
        <v>ПЕД</v>
      </c>
      <c r="T24" s="7" t="e">
        <f t="shared" ca="1" si="3"/>
        <v>#VALUE!</v>
      </c>
    </row>
    <row r="25" spans="1:20" ht="15.95" customHeight="1" x14ac:dyDescent="0.25">
      <c r="B25" s="9">
        <f t="shared" ref="B25:I25" si="9">SUM(B15:B23)</f>
        <v>330</v>
      </c>
      <c r="C25" s="9">
        <f t="shared" si="9"/>
        <v>390</v>
      </c>
      <c r="D25" s="9">
        <f t="shared" si="9"/>
        <v>225</v>
      </c>
      <c r="E25" s="9">
        <f t="shared" si="9"/>
        <v>135</v>
      </c>
      <c r="F25" s="9">
        <f t="shared" si="9"/>
        <v>30</v>
      </c>
      <c r="G25" s="9">
        <f t="shared" si="9"/>
        <v>510</v>
      </c>
      <c r="H25" s="9">
        <f t="shared" si="9"/>
        <v>900</v>
      </c>
      <c r="I25" s="9">
        <f t="shared" si="9"/>
        <v>30</v>
      </c>
      <c r="J25" s="6"/>
      <c r="K25" s="73">
        <f t="shared" si="0"/>
        <v>0</v>
      </c>
      <c r="L25" s="73">
        <f t="shared" si="1"/>
        <v>0</v>
      </c>
      <c r="M25" s="73">
        <f t="shared" si="2"/>
        <v>0</v>
      </c>
      <c r="N25" s="7" t="str">
        <f>IF(O25=""," ",VLOOKUP(O25,'[8]2012 личен състав ОТД'!$A:$AO,2,FALSE))</f>
        <v xml:space="preserve"> </v>
      </c>
      <c r="O25" s="3"/>
      <c r="P25" s="7" t="str">
        <f>IF(O25=""," ",VLOOKUP(O25,'[8]2012 личен състав ОТД'!$A:$AO,13,FALSE))</f>
        <v xml:space="preserve"> </v>
      </c>
      <c r="Q25" s="7" t="str">
        <f>IF(O25=""," ",VLOOKUP(O25,'[8]2012 личен състав ОТД'!$A:$AO,12,FALSE))</f>
        <v xml:space="preserve"> </v>
      </c>
      <c r="R25" s="7" t="str">
        <f>IF(A25=""," ",VLOOKUP(A25,'Профилиращ лист'!A:B,2,FALSE))</f>
        <v xml:space="preserve"> </v>
      </c>
      <c r="T25" s="7" t="e">
        <f t="shared" ca="1" si="3"/>
        <v>#VALUE!</v>
      </c>
    </row>
    <row r="26" spans="1:20" ht="15.95" customHeight="1" x14ac:dyDescent="0.25">
      <c r="A26" s="1" t="s">
        <v>30</v>
      </c>
      <c r="B26" s="1"/>
      <c r="J26" s="6"/>
      <c r="K26" s="73">
        <f t="shared" si="0"/>
        <v>0</v>
      </c>
      <c r="L26" s="73">
        <f t="shared" si="1"/>
        <v>0</v>
      </c>
      <c r="M26" s="73">
        <f t="shared" si="2"/>
        <v>0</v>
      </c>
      <c r="N26" s="7" t="str">
        <f>IF(O26=""," ",VLOOKUP(O26,'[8]2012 личен състав ОТД'!$A:$AO,2,FALSE))</f>
        <v xml:space="preserve"> </v>
      </c>
      <c r="O26" s="3"/>
      <c r="P26" s="7" t="str">
        <f>IF(O26=""," ",VLOOKUP(O26,'[8]2012 личен състав ОТД'!$A:$AO,13,FALSE))</f>
        <v xml:space="preserve"> </v>
      </c>
      <c r="Q26" s="7" t="str">
        <f>IF(O26=""," ",VLOOKUP(O26,'[8]2012 личен състав ОТД'!$A:$AO,12,FALSE))</f>
        <v xml:space="preserve"> </v>
      </c>
      <c r="R26" s="7" t="e">
        <f>IF(A26=""," ",VLOOKUP(A26,'Профилиращ лист'!A:B,2,FALSE))</f>
        <v>#N/A</v>
      </c>
      <c r="T26" s="7" t="e">
        <f t="shared" ca="1" si="3"/>
        <v>#VALUE!</v>
      </c>
    </row>
    <row r="27" spans="1:20" ht="15.95" customHeight="1" x14ac:dyDescent="0.25">
      <c r="A27" s="8" t="s">
        <v>91</v>
      </c>
      <c r="B27" s="8">
        <v>45</v>
      </c>
      <c r="C27" s="4">
        <v>45</v>
      </c>
      <c r="D27" s="4">
        <v>45</v>
      </c>
      <c r="E27" s="4">
        <v>0</v>
      </c>
      <c r="F27" s="4">
        <f>C27-D27-E27</f>
        <v>0</v>
      </c>
      <c r="G27" s="4">
        <f>H27-C27</f>
        <v>15</v>
      </c>
      <c r="H27" s="4">
        <f>I27*30</f>
        <v>60</v>
      </c>
      <c r="I27" s="4">
        <v>2</v>
      </c>
      <c r="J27" s="4" t="s">
        <v>14</v>
      </c>
      <c r="K27" s="73">
        <f t="shared" si="0"/>
        <v>60</v>
      </c>
      <c r="L27" s="73">
        <f t="shared" si="1"/>
        <v>60</v>
      </c>
      <c r="M27" s="73">
        <f t="shared" si="2"/>
        <v>0</v>
      </c>
      <c r="N27" s="7" t="str">
        <f>IF(O27=""," ",VLOOKUP(O27,'[8]2012 личен състав ОТД'!$A:$AO,2,FALSE))</f>
        <v xml:space="preserve"> </v>
      </c>
      <c r="O27" s="3"/>
      <c r="P27" s="7" t="str">
        <f>IF(O27=""," ",VLOOKUP(O27,'[8]2012 личен състав ОТД'!$A:$AO,13,FALSE))</f>
        <v xml:space="preserve"> </v>
      </c>
      <c r="Q27" s="7" t="str">
        <f>IF(O27=""," ",VLOOKUP(O27,'[8]2012 личен състав ОТД'!$A:$AO,12,FALSE))</f>
        <v xml:space="preserve"> </v>
      </c>
      <c r="R27" s="7" t="str">
        <f>IF(A27=""," ",VLOOKUP(A27,'Профилиращ лист'!A:B,2,FALSE))</f>
        <v>ОИД</v>
      </c>
      <c r="T27" s="7" t="e">
        <f t="shared" ca="1" si="3"/>
        <v>#VALUE!</v>
      </c>
    </row>
    <row r="28" spans="1:20" ht="15.95" customHeight="1" x14ac:dyDescent="0.25">
      <c r="A28" s="8" t="s">
        <v>31</v>
      </c>
      <c r="B28" s="4">
        <v>30</v>
      </c>
      <c r="C28" s="4">
        <v>30</v>
      </c>
      <c r="D28" s="4">
        <v>30</v>
      </c>
      <c r="E28" s="4">
        <v>0</v>
      </c>
      <c r="F28" s="4">
        <v>0</v>
      </c>
      <c r="G28" s="4">
        <f t="shared" ref="G28:G35" si="10">H28-C28</f>
        <v>60</v>
      </c>
      <c r="H28" s="4">
        <f t="shared" ref="H28:H35" si="11">I28*30</f>
        <v>90</v>
      </c>
      <c r="I28" s="4">
        <v>3</v>
      </c>
      <c r="J28" s="4" t="s">
        <v>14</v>
      </c>
      <c r="K28" s="73">
        <f t="shared" si="0"/>
        <v>75</v>
      </c>
      <c r="L28" s="73">
        <f t="shared" si="1"/>
        <v>60</v>
      </c>
      <c r="M28" s="73">
        <f t="shared" si="2"/>
        <v>15</v>
      </c>
      <c r="N28" s="7" t="str">
        <f>IF(O28=""," ",VLOOKUP(O28,'[8]2012 личен състав ОТД'!$A:$AO,2,FALSE))</f>
        <v xml:space="preserve"> </v>
      </c>
      <c r="O28" s="3"/>
      <c r="P28" s="7" t="str">
        <f>IF(O28=""," ",VLOOKUP(O28,'[8]2012 личен състав ОТД'!$A:$AO,13,FALSE))</f>
        <v xml:space="preserve"> </v>
      </c>
      <c r="Q28" s="7" t="str">
        <f>IF(O28=""," ",VLOOKUP(O28,'[8]2012 личен състав ОТД'!$A:$AO,12,FALSE))</f>
        <v xml:space="preserve"> </v>
      </c>
      <c r="R28" s="7" t="str">
        <f>IF(A28=""," ",VLOOKUP(A28,'Профилиращ лист'!A:B,2,FALSE))</f>
        <v>СПЕ</v>
      </c>
      <c r="T28" s="7" t="e">
        <f t="shared" ca="1" si="3"/>
        <v>#VALUE!</v>
      </c>
    </row>
    <row r="29" spans="1:20" ht="15.95" customHeight="1" x14ac:dyDescent="0.25">
      <c r="A29" s="8" t="s">
        <v>87</v>
      </c>
      <c r="B29" s="8">
        <v>60</v>
      </c>
      <c r="C29" s="4">
        <v>60</v>
      </c>
      <c r="D29" s="4">
        <v>30</v>
      </c>
      <c r="E29" s="4">
        <v>0</v>
      </c>
      <c r="F29" s="4">
        <f>C29-D29-E29</f>
        <v>30</v>
      </c>
      <c r="G29" s="4">
        <f t="shared" si="10"/>
        <v>90</v>
      </c>
      <c r="H29" s="4">
        <f t="shared" si="11"/>
        <v>150</v>
      </c>
      <c r="I29" s="4">
        <v>5</v>
      </c>
      <c r="J29" s="6" t="s">
        <v>12</v>
      </c>
      <c r="K29" s="73">
        <f t="shared" si="0"/>
        <v>120</v>
      </c>
      <c r="L29" s="73">
        <f t="shared" si="1"/>
        <v>60</v>
      </c>
      <c r="M29" s="73">
        <f t="shared" si="2"/>
        <v>60</v>
      </c>
      <c r="N29" s="7" t="str">
        <f>IF(O29=""," ",VLOOKUP(O29,'[8]2012 личен състав ОТД'!$A:$AO,2,FALSE))</f>
        <v>гл. ас. д-р Румяна Комсалова</v>
      </c>
      <c r="O29" s="3" t="s">
        <v>463</v>
      </c>
      <c r="P29" s="7">
        <f>IF(O29=""," ",VLOOKUP(O29,'[8]2012 личен състав ОТД'!$A:$AO,13,FALSE))</f>
        <v>1954</v>
      </c>
      <c r="Q29" s="7" t="str">
        <f>IF(O29=""," ",VLOOKUP(O29,'[8]2012 личен състав ОТД'!$A:$AO,12,FALSE))</f>
        <v>ОТД</v>
      </c>
      <c r="R29" s="7" t="str">
        <f>IF(A29=""," ",VLOOKUP(A29,'Профилиращ лист'!A:B,2,FALSE))</f>
        <v>СПЕ</v>
      </c>
      <c r="T29" s="7">
        <f t="shared" ca="1" si="3"/>
        <v>59</v>
      </c>
    </row>
    <row r="30" spans="1:20" ht="15.95" customHeight="1" x14ac:dyDescent="0.25">
      <c r="A30" s="8" t="s">
        <v>92</v>
      </c>
      <c r="B30" s="8">
        <v>45</v>
      </c>
      <c r="C30" s="4">
        <v>45</v>
      </c>
      <c r="D30" s="4">
        <v>30</v>
      </c>
      <c r="E30" s="4">
        <v>15</v>
      </c>
      <c r="F30" s="4">
        <f>C30-D30-E30</f>
        <v>0</v>
      </c>
      <c r="G30" s="4">
        <f t="shared" si="10"/>
        <v>105</v>
      </c>
      <c r="H30" s="4">
        <f t="shared" si="11"/>
        <v>150</v>
      </c>
      <c r="I30" s="4">
        <v>5</v>
      </c>
      <c r="J30" s="6" t="s">
        <v>12</v>
      </c>
      <c r="K30" s="73">
        <f t="shared" si="0"/>
        <v>45</v>
      </c>
      <c r="L30" s="73">
        <f t="shared" si="1"/>
        <v>30</v>
      </c>
      <c r="M30" s="73">
        <f t="shared" si="2"/>
        <v>15</v>
      </c>
      <c r="N30" s="7" t="str">
        <f>IF(O30=""," ",VLOOKUP(O30,'[8]2012 личен състав ОТД'!$A:$AO,2,FALSE))</f>
        <v>гл. ас. д-р Димитър Димитров</v>
      </c>
      <c r="O30" s="3" t="s">
        <v>464</v>
      </c>
      <c r="P30" s="7">
        <f>IF(O30=""," ",VLOOKUP(O30,'[8]2012 личен състав ОТД'!$A:$AO,13,FALSE))</f>
        <v>1968</v>
      </c>
      <c r="Q30" s="7" t="str">
        <f>IF(O30=""," ",VLOOKUP(O30,'[8]2012 личен състав ОТД'!$A:$AO,12,FALSE))</f>
        <v>ОТД</v>
      </c>
      <c r="R30" s="7" t="str">
        <f>IF(A30=""," ",VLOOKUP(A30,'Профилиращ лист'!A:B,2,FALSE))</f>
        <v>СПЕ</v>
      </c>
      <c r="T30" s="7">
        <f t="shared" ca="1" si="3"/>
        <v>45</v>
      </c>
    </row>
    <row r="31" spans="1:20" ht="15.95" customHeight="1" x14ac:dyDescent="0.25">
      <c r="A31" s="8" t="s">
        <v>93</v>
      </c>
      <c r="B31" s="8">
        <v>15</v>
      </c>
      <c r="C31" s="4">
        <v>30</v>
      </c>
      <c r="D31" s="4">
        <v>30</v>
      </c>
      <c r="E31" s="4">
        <v>0</v>
      </c>
      <c r="F31" s="4">
        <f>C31-D31-E31</f>
        <v>0</v>
      </c>
      <c r="G31" s="4">
        <f t="shared" si="10"/>
        <v>30</v>
      </c>
      <c r="H31" s="4">
        <f t="shared" si="11"/>
        <v>60</v>
      </c>
      <c r="I31" s="4">
        <v>2</v>
      </c>
      <c r="J31" s="6" t="s">
        <v>12</v>
      </c>
      <c r="K31" s="73">
        <f t="shared" si="0"/>
        <v>30</v>
      </c>
      <c r="L31" s="73">
        <f t="shared" si="1"/>
        <v>30</v>
      </c>
      <c r="M31" s="73">
        <f t="shared" si="2"/>
        <v>0</v>
      </c>
      <c r="N31" s="7" t="str">
        <f>IF(O31=""," ",VLOOKUP(O31,'[8]2012 личен състав ОТД'!$A:$AO,2,FALSE))</f>
        <v>гл. ас. д-р Аделина Странджева</v>
      </c>
      <c r="O31" s="3" t="s">
        <v>456</v>
      </c>
      <c r="P31" s="7">
        <f>IF(O31=""," ",VLOOKUP(O31,'[8]2012 личен състав ОТД'!$A:$AO,13,FALSE))</f>
        <v>1960</v>
      </c>
      <c r="Q31" s="7" t="str">
        <f>IF(O31=""," ",VLOOKUP(O31,'[8]2012 личен състав ОТД'!$A:$AO,12,FALSE))</f>
        <v>ОТД</v>
      </c>
      <c r="R31" s="7" t="str">
        <f>IF(A31=""," ",VLOOKUP(A31,'Профилиращ лист'!A:B,2,FALSE))</f>
        <v>ПЕД</v>
      </c>
      <c r="T31" s="7">
        <f t="shared" ca="1" si="3"/>
        <v>53</v>
      </c>
    </row>
    <row r="32" spans="1:20" ht="15.95" customHeight="1" x14ac:dyDescent="0.25">
      <c r="A32" s="8" t="s">
        <v>34</v>
      </c>
      <c r="B32" s="4">
        <v>60</v>
      </c>
      <c r="C32" s="4">
        <v>60</v>
      </c>
      <c r="D32" s="4">
        <v>45</v>
      </c>
      <c r="E32" s="4">
        <v>15</v>
      </c>
      <c r="F32" s="4">
        <v>0</v>
      </c>
      <c r="G32" s="4">
        <f t="shared" si="10"/>
        <v>60</v>
      </c>
      <c r="H32" s="4">
        <f t="shared" si="11"/>
        <v>120</v>
      </c>
      <c r="I32" s="4">
        <v>4</v>
      </c>
      <c r="J32" s="4" t="s">
        <v>12</v>
      </c>
      <c r="K32" s="73">
        <f t="shared" si="0"/>
        <v>60</v>
      </c>
      <c r="L32" s="73">
        <f t="shared" si="1"/>
        <v>45</v>
      </c>
      <c r="M32" s="73">
        <f t="shared" si="2"/>
        <v>15</v>
      </c>
      <c r="N32" s="7" t="str">
        <f>IF(O32=""," ",VLOOKUP(O32,'[8]2012 личен състав ОТД'!$A:$AO,2,FALSE))</f>
        <v>проф. д.п.н. Пламен Радев</v>
      </c>
      <c r="O32" s="3" t="s">
        <v>465</v>
      </c>
      <c r="P32" s="7">
        <f>IF(O32=""," ",VLOOKUP(O32,'[8]2012 личен състав ОТД'!$A:$AO,13,FALSE))</f>
        <v>1950</v>
      </c>
      <c r="Q32" s="7" t="str">
        <f>IF(O32=""," ",VLOOKUP(O32,'[8]2012 личен състав ОТД'!$A:$AO,12,FALSE))</f>
        <v>ОТД</v>
      </c>
      <c r="R32" s="7" t="str">
        <f>IF(A32=""," ",VLOOKUP(A32,'Профилиращ лист'!A:B,2,FALSE))</f>
        <v>ПЕД</v>
      </c>
      <c r="T32" s="7">
        <f t="shared" ca="1" si="3"/>
        <v>63</v>
      </c>
    </row>
    <row r="33" spans="1:28" ht="15.95" customHeight="1" x14ac:dyDescent="0.25">
      <c r="A33" s="8" t="s">
        <v>35</v>
      </c>
      <c r="B33" s="4">
        <v>45</v>
      </c>
      <c r="C33" s="4">
        <v>45</v>
      </c>
      <c r="D33" s="4">
        <v>45</v>
      </c>
      <c r="E33" s="4">
        <v>0</v>
      </c>
      <c r="F33" s="4">
        <v>0</v>
      </c>
      <c r="G33" s="4">
        <f t="shared" si="10"/>
        <v>45</v>
      </c>
      <c r="H33" s="4">
        <f t="shared" si="11"/>
        <v>90</v>
      </c>
      <c r="I33" s="4">
        <v>3</v>
      </c>
      <c r="J33" s="4" t="s">
        <v>12</v>
      </c>
      <c r="K33" s="73">
        <f t="shared" si="0"/>
        <v>45</v>
      </c>
      <c r="L33" s="73">
        <f t="shared" si="1"/>
        <v>45</v>
      </c>
      <c r="M33" s="73">
        <f t="shared" si="2"/>
        <v>0</v>
      </c>
      <c r="N33" s="7" t="str">
        <f>IF(O33=""," ",VLOOKUP(O33,'[8]2012 личен състав ОТД'!$A:$AO,2,FALSE))</f>
        <v>проф. д.п.н. Румен Стаматов</v>
      </c>
      <c r="O33" s="3" t="s">
        <v>466</v>
      </c>
      <c r="P33" s="7">
        <f>IF(O33=""," ",VLOOKUP(O33,'[8]2012 личен състав ОТД'!$A:$AO,13,FALSE))</f>
        <v>1953</v>
      </c>
      <c r="Q33" s="7" t="str">
        <f>IF(O33=""," ",VLOOKUP(O33,'[8]2012 личен състав ОТД'!$A:$AO,12,FALSE))</f>
        <v>ОТД</v>
      </c>
      <c r="R33" s="7" t="str">
        <f>IF(A33=""," ",VLOOKUP(A33,'Профилиращ лист'!A:B,2,FALSE))</f>
        <v>ПЕД</v>
      </c>
      <c r="T33" s="7">
        <f t="shared" ca="1" si="3"/>
        <v>60</v>
      </c>
    </row>
    <row r="34" spans="1:28" ht="15.95" customHeight="1" x14ac:dyDescent="0.25">
      <c r="A34" s="8" t="s">
        <v>94</v>
      </c>
      <c r="B34" s="8">
        <v>45</v>
      </c>
      <c r="C34" s="4">
        <v>45</v>
      </c>
      <c r="D34" s="4">
        <v>30</v>
      </c>
      <c r="E34" s="4">
        <v>15</v>
      </c>
      <c r="F34" s="4">
        <f>C34-D34-E34</f>
        <v>0</v>
      </c>
      <c r="G34" s="4">
        <f t="shared" si="10"/>
        <v>45</v>
      </c>
      <c r="H34" s="4">
        <f t="shared" si="11"/>
        <v>90</v>
      </c>
      <c r="I34" s="4">
        <v>3</v>
      </c>
      <c r="J34" s="4" t="s">
        <v>14</v>
      </c>
      <c r="K34" s="73">
        <f t="shared" si="0"/>
        <v>90</v>
      </c>
      <c r="L34" s="73">
        <f t="shared" si="1"/>
        <v>60</v>
      </c>
      <c r="M34" s="73">
        <f t="shared" si="2"/>
        <v>30</v>
      </c>
      <c r="N34" s="7" t="str">
        <f>IF(O34=""," ",VLOOKUP(O34,'[8]2012 личен състав ОТД'!$A:$AO,2,FALSE))</f>
        <v xml:space="preserve"> </v>
      </c>
      <c r="O34" s="3"/>
      <c r="P34" s="7" t="str">
        <f>IF(O34=""," ",VLOOKUP(O34,'[8]2012 личен състав ОТД'!$A:$AO,13,FALSE))</f>
        <v xml:space="preserve"> </v>
      </c>
      <c r="Q34" s="7" t="str">
        <f>IF(O34=""," ",VLOOKUP(O34,'[8]2012 личен състав ОТД'!$A:$AO,12,FALSE))</f>
        <v xml:space="preserve"> </v>
      </c>
      <c r="R34" s="7" t="str">
        <f>IF(A34=""," ",VLOOKUP(A34,'Профилиращ лист'!A:B,2,FALSE))</f>
        <v>ОИД</v>
      </c>
      <c r="T34" s="7" t="e">
        <f t="shared" ca="1" si="3"/>
        <v>#VALUE!</v>
      </c>
    </row>
    <row r="35" spans="1:28" ht="15.95" customHeight="1" x14ac:dyDescent="0.25">
      <c r="A35" s="8" t="s">
        <v>95</v>
      </c>
      <c r="B35" s="4">
        <v>30</v>
      </c>
      <c r="C35" s="4">
        <v>45</v>
      </c>
      <c r="D35" s="4">
        <v>30</v>
      </c>
      <c r="E35" s="4">
        <v>15</v>
      </c>
      <c r="F35" s="4">
        <v>0</v>
      </c>
      <c r="G35" s="4">
        <f t="shared" si="10"/>
        <v>45</v>
      </c>
      <c r="H35" s="4">
        <f t="shared" si="11"/>
        <v>90</v>
      </c>
      <c r="I35" s="4">
        <v>3</v>
      </c>
      <c r="J35" s="4" t="s">
        <v>12</v>
      </c>
      <c r="K35" s="73">
        <f t="shared" ref="K35:K66" si="12">SUMIF(A:A,A35,C:C)</f>
        <v>45</v>
      </c>
      <c r="L35" s="73">
        <f t="shared" ref="L35:L66" si="13">SUMIF(A:A,A35,D:D)</f>
        <v>30</v>
      </c>
      <c r="M35" s="73">
        <f t="shared" ref="M35:M66" si="14">SUMIF(A:A,A35,E:E)+SUMIF(A:A,A35,F:F)</f>
        <v>15</v>
      </c>
      <c r="N35" s="7" t="str">
        <f>IF(O35=""," ",VLOOKUP(O35,'[8]2012 личен състав ОТД'!$A:$AO,2,FALSE))</f>
        <v>гл. ас. д-р Иванка Гайдаджиева</v>
      </c>
      <c r="O35" s="3" t="s">
        <v>467</v>
      </c>
      <c r="P35" s="7">
        <f>IF(O35=""," ",VLOOKUP(O35,'[8]2012 личен състав ОТД'!$A:$AO,13,FALSE))</f>
        <v>1958</v>
      </c>
      <c r="Q35" s="7" t="str">
        <f>IF(O35=""," ",VLOOKUP(O35,'[8]2012 личен състав ОТД'!$A:$AO,12,FALSE))</f>
        <v>ОТД</v>
      </c>
      <c r="R35" s="7" t="str">
        <f>IF(A35=""," ",VLOOKUP(A35,'Профилиращ лист'!A:B,2,FALSE))</f>
        <v>СПЕ</v>
      </c>
      <c r="T35" s="7">
        <f t="shared" ref="T35:T66" ca="1" si="15">Години-P35</f>
        <v>55</v>
      </c>
    </row>
    <row r="36" spans="1:28" ht="15.95" customHeight="1" x14ac:dyDescent="0.25">
      <c r="A36" s="8" t="s">
        <v>29</v>
      </c>
      <c r="B36" s="4">
        <v>30</v>
      </c>
      <c r="C36" s="4">
        <v>30</v>
      </c>
      <c r="D36" s="4">
        <v>0</v>
      </c>
      <c r="E36" s="4">
        <v>0</v>
      </c>
      <c r="F36" s="4">
        <v>30</v>
      </c>
      <c r="G36" s="4">
        <v>0</v>
      </c>
      <c r="H36" s="4">
        <v>0</v>
      </c>
      <c r="I36" s="4">
        <v>0</v>
      </c>
      <c r="J36" s="4" t="s">
        <v>14</v>
      </c>
      <c r="K36" s="73">
        <f t="shared" si="12"/>
        <v>60</v>
      </c>
      <c r="L36" s="73">
        <f t="shared" si="13"/>
        <v>0</v>
      </c>
      <c r="M36" s="73">
        <f t="shared" si="14"/>
        <v>60</v>
      </c>
      <c r="N36" s="7" t="str">
        <f>IF(O36=""," ",VLOOKUP(O36,'[8]2012 личен състав ОТД'!$A:$AO,2,FALSE))</f>
        <v xml:space="preserve"> </v>
      </c>
      <c r="O36" s="3"/>
      <c r="P36" s="7" t="str">
        <f>IF(O36=""," ",VLOOKUP(O36,'[8]2012 личен състав ОТД'!$A:$AO,13,FALSE))</f>
        <v xml:space="preserve"> </v>
      </c>
      <c r="Q36" s="7" t="str">
        <f>IF(O36=""," ",VLOOKUP(O36,'[8]2012 личен състав ОТД'!$A:$AO,12,FALSE))</f>
        <v xml:space="preserve"> </v>
      </c>
      <c r="R36" s="7" t="str">
        <f>IF(A36=""," ",VLOOKUP(A36,'Профилиращ лист'!A:B,2,FALSE))</f>
        <v>ПЕД</v>
      </c>
      <c r="T36" s="7" t="e">
        <f t="shared" ca="1" si="15"/>
        <v>#VALUE!</v>
      </c>
    </row>
    <row r="37" spans="1:28" ht="15.95" customHeight="1" x14ac:dyDescent="0.25">
      <c r="B37" s="9">
        <f t="shared" ref="B37:I37" si="16">SUM(B27:B35)</f>
        <v>375</v>
      </c>
      <c r="C37" s="9">
        <f t="shared" si="16"/>
        <v>405</v>
      </c>
      <c r="D37" s="9">
        <f t="shared" si="16"/>
        <v>315</v>
      </c>
      <c r="E37" s="9">
        <f t="shared" si="16"/>
        <v>60</v>
      </c>
      <c r="F37" s="9">
        <f t="shared" si="16"/>
        <v>30</v>
      </c>
      <c r="G37" s="9">
        <f t="shared" si="16"/>
        <v>495</v>
      </c>
      <c r="H37" s="9">
        <f t="shared" si="16"/>
        <v>900</v>
      </c>
      <c r="I37" s="9">
        <f t="shared" si="16"/>
        <v>30</v>
      </c>
      <c r="J37" s="6"/>
      <c r="K37" s="73">
        <f t="shared" si="12"/>
        <v>0</v>
      </c>
      <c r="L37" s="73">
        <f t="shared" si="13"/>
        <v>0</v>
      </c>
      <c r="M37" s="73">
        <f t="shared" si="14"/>
        <v>0</v>
      </c>
      <c r="N37" s="7" t="str">
        <f>IF(O37=""," ",VLOOKUP(O37,'[8]2012 личен състав ОТД'!$A:$AO,2,FALSE))</f>
        <v xml:space="preserve"> </v>
      </c>
      <c r="O37" s="3"/>
      <c r="P37" s="7" t="str">
        <f>IF(O37=""," ",VLOOKUP(O37,'[8]2012 личен състав ОТД'!$A:$AO,13,FALSE))</f>
        <v xml:space="preserve"> </v>
      </c>
      <c r="Q37" s="7" t="str">
        <f>IF(O37=""," ",VLOOKUP(O37,'[8]2012 личен състав ОТД'!$A:$AO,12,FALSE))</f>
        <v xml:space="preserve"> </v>
      </c>
      <c r="R37" s="7" t="str">
        <f>IF(A37=""," ",VLOOKUP(A37,'Профилиращ лист'!A:B,2,FALSE))</f>
        <v xml:space="preserve"> </v>
      </c>
      <c r="T37" s="7" t="e">
        <f t="shared" ca="1" si="15"/>
        <v>#VALUE!</v>
      </c>
    </row>
    <row r="38" spans="1:28" ht="15" customHeight="1" x14ac:dyDescent="0.25">
      <c r="A38" s="1" t="s">
        <v>38</v>
      </c>
      <c r="B38" s="1"/>
      <c r="I38" s="4"/>
      <c r="J38" s="6"/>
      <c r="K38" s="73">
        <f t="shared" si="12"/>
        <v>0</v>
      </c>
      <c r="L38" s="73">
        <f t="shared" si="13"/>
        <v>0</v>
      </c>
      <c r="M38" s="73">
        <f t="shared" si="14"/>
        <v>0</v>
      </c>
      <c r="N38" s="7" t="str">
        <f>IF(O38=""," ",VLOOKUP(O38,'[8]2012 личен състав ОТД'!$A:$AO,2,FALSE))</f>
        <v xml:space="preserve"> </v>
      </c>
      <c r="O38" s="3"/>
      <c r="P38" s="7" t="str">
        <f>IF(O38=""," ",VLOOKUP(O38,'[8]2012 личен състав ОТД'!$A:$AO,13,FALSE))</f>
        <v xml:space="preserve"> </v>
      </c>
      <c r="Q38" s="7" t="str">
        <f>IF(O38=""," ",VLOOKUP(O38,'[8]2012 личен състав ОТД'!$A:$AO,12,FALSE))</f>
        <v xml:space="preserve"> </v>
      </c>
      <c r="R38" s="7" t="e">
        <f>IF(A38=""," ",VLOOKUP(A38,'Профилиращ лист'!A:B,2,FALSE))</f>
        <v>#N/A</v>
      </c>
      <c r="T38" s="7" t="e">
        <f t="shared" ca="1" si="15"/>
        <v>#VALUE!</v>
      </c>
    </row>
    <row r="39" spans="1:28" ht="15" customHeight="1" x14ac:dyDescent="0.25">
      <c r="A39" s="8" t="s">
        <v>39</v>
      </c>
      <c r="B39" s="4">
        <v>45</v>
      </c>
      <c r="C39" s="4">
        <v>45</v>
      </c>
      <c r="D39" s="4">
        <v>30</v>
      </c>
      <c r="E39" s="4">
        <v>15</v>
      </c>
      <c r="F39" s="4">
        <v>0</v>
      </c>
      <c r="G39" s="4">
        <f>H39-C39</f>
        <v>75</v>
      </c>
      <c r="H39" s="4">
        <f>I39*30</f>
        <v>120</v>
      </c>
      <c r="I39" s="4">
        <v>4</v>
      </c>
      <c r="J39" s="4" t="s">
        <v>14</v>
      </c>
      <c r="K39" s="73">
        <f t="shared" si="12"/>
        <v>105</v>
      </c>
      <c r="L39" s="73">
        <f t="shared" si="13"/>
        <v>60</v>
      </c>
      <c r="M39" s="73">
        <f t="shared" si="14"/>
        <v>45</v>
      </c>
      <c r="N39" s="7" t="str">
        <f>IF(O39=""," ",VLOOKUP(O39,'[8]2012 личен състав ОТД'!$A:$AO,2,FALSE))</f>
        <v xml:space="preserve"> </v>
      </c>
      <c r="O39" s="3"/>
      <c r="P39" s="7" t="str">
        <f>IF(O39=""," ",VLOOKUP(O39,'[8]2012 личен състав ОТД'!$A:$AO,13,FALSE))</f>
        <v xml:space="preserve"> </v>
      </c>
      <c r="Q39" s="7" t="str">
        <f>IF(O39=""," ",VLOOKUP(O39,'[8]2012 личен състав ОТД'!$A:$AO,12,FALSE))</f>
        <v xml:space="preserve"> </v>
      </c>
      <c r="R39" s="7" t="str">
        <f>IF(A39=""," ",VLOOKUP(A39,'Профилиращ лист'!A:B,2,FALSE))</f>
        <v>СПЕ</v>
      </c>
      <c r="T39" s="7" t="e">
        <f t="shared" ca="1" si="15"/>
        <v>#VALUE!</v>
      </c>
    </row>
    <row r="40" spans="1:28" ht="15" customHeight="1" x14ac:dyDescent="0.25">
      <c r="A40" s="8" t="s">
        <v>31</v>
      </c>
      <c r="B40" s="4">
        <v>30</v>
      </c>
      <c r="C40" s="4">
        <v>45</v>
      </c>
      <c r="D40" s="4">
        <v>30</v>
      </c>
      <c r="E40" s="4">
        <v>15</v>
      </c>
      <c r="F40" s="4">
        <v>0</v>
      </c>
      <c r="G40" s="4">
        <f t="shared" ref="G40:G48" si="17">H40-C40</f>
        <v>45</v>
      </c>
      <c r="H40" s="4">
        <f t="shared" ref="H40:H48" si="18">I40*30</f>
        <v>90</v>
      </c>
      <c r="I40" s="4">
        <v>3</v>
      </c>
      <c r="J40" s="4" t="s">
        <v>12</v>
      </c>
      <c r="K40" s="73">
        <f t="shared" si="12"/>
        <v>75</v>
      </c>
      <c r="L40" s="73">
        <f t="shared" si="13"/>
        <v>60</v>
      </c>
      <c r="M40" s="73">
        <f t="shared" si="14"/>
        <v>15</v>
      </c>
      <c r="N40" s="7" t="str">
        <f>IF(O40=""," ",VLOOKUP(O40,'[8]2012 личен състав ОТД'!$A:$AO,2,FALSE))</f>
        <v>доц. д-р Елена Гетова</v>
      </c>
      <c r="O40" s="3" t="s">
        <v>468</v>
      </c>
      <c r="P40" s="7">
        <f>IF(O40=""," ",VLOOKUP(O40,'[8]2012 личен състав ОТД'!$A:$AO,13,FALSE))</f>
        <v>1969</v>
      </c>
      <c r="Q40" s="7" t="str">
        <f>IF(O40=""," ",VLOOKUP(O40,'[8]2012 личен състав ОТД'!$A:$AO,12,FALSE))</f>
        <v>ОТД</v>
      </c>
      <c r="R40" s="7" t="str">
        <f>IF(A40=""," ",VLOOKUP(A40,'Профилиращ лист'!A:B,2,FALSE))</f>
        <v>СПЕ</v>
      </c>
      <c r="T40" s="7">
        <f t="shared" ca="1" si="15"/>
        <v>44</v>
      </c>
    </row>
    <row r="41" spans="1:28" ht="15" customHeight="1" x14ac:dyDescent="0.25">
      <c r="A41" s="8" t="s">
        <v>91</v>
      </c>
      <c r="B41" s="8">
        <v>15</v>
      </c>
      <c r="C41" s="4">
        <v>15</v>
      </c>
      <c r="D41" s="4">
        <v>15</v>
      </c>
      <c r="E41" s="4">
        <v>0</v>
      </c>
      <c r="F41" s="4">
        <f>C41-D41-E41</f>
        <v>0</v>
      </c>
      <c r="G41" s="4">
        <f t="shared" si="17"/>
        <v>45</v>
      </c>
      <c r="H41" s="4">
        <f t="shared" si="18"/>
        <v>60</v>
      </c>
      <c r="I41" s="4">
        <v>2</v>
      </c>
      <c r="J41" s="6" t="s">
        <v>12</v>
      </c>
      <c r="K41" s="73">
        <f t="shared" si="12"/>
        <v>60</v>
      </c>
      <c r="L41" s="73">
        <f t="shared" si="13"/>
        <v>60</v>
      </c>
      <c r="M41" s="73">
        <f t="shared" si="14"/>
        <v>0</v>
      </c>
      <c r="N41" s="7" t="str">
        <f>IF(O41=""," ",VLOOKUP(O41,'[8]2012 личен състав ОТД'!$A:$AO,2,FALSE))</f>
        <v>проф. д.и.н. Людмил Спасов</v>
      </c>
      <c r="O41" s="3" t="s">
        <v>476</v>
      </c>
      <c r="P41" s="7">
        <f>IF(O41=""," ",VLOOKUP(O41,'[8]2012 личен състав ОТД'!$A:$AO,13,FALSE))</f>
        <v>1948</v>
      </c>
      <c r="Q41" s="7" t="str">
        <f>IF(O41=""," ",VLOOKUP(O41,'[8]2012 личен състав ОТД'!$A:$AO,12,FALSE))</f>
        <v>ОТД</v>
      </c>
      <c r="R41" s="7" t="str">
        <f>IF(A41=""," ",VLOOKUP(A41,'Профилиращ лист'!A:B,2,FALSE))</f>
        <v>ОИД</v>
      </c>
      <c r="T41" s="7">
        <f t="shared" ca="1" si="15"/>
        <v>65</v>
      </c>
    </row>
    <row r="42" spans="1:28" ht="15" customHeight="1" x14ac:dyDescent="0.25">
      <c r="A42" s="8" t="s">
        <v>96</v>
      </c>
      <c r="B42" s="8">
        <v>45</v>
      </c>
      <c r="C42" s="4">
        <v>45</v>
      </c>
      <c r="D42" s="4">
        <v>30</v>
      </c>
      <c r="E42" s="4">
        <v>15</v>
      </c>
      <c r="F42" s="4">
        <f>C42-D42-E42</f>
        <v>0</v>
      </c>
      <c r="G42" s="4">
        <f t="shared" si="17"/>
        <v>45</v>
      </c>
      <c r="H42" s="4">
        <f t="shared" si="18"/>
        <v>90</v>
      </c>
      <c r="I42" s="4">
        <v>3</v>
      </c>
      <c r="J42" s="6" t="s">
        <v>12</v>
      </c>
      <c r="K42" s="73">
        <f t="shared" si="12"/>
        <v>45</v>
      </c>
      <c r="L42" s="73">
        <f t="shared" si="13"/>
        <v>30</v>
      </c>
      <c r="M42" s="73">
        <f t="shared" si="14"/>
        <v>15</v>
      </c>
      <c r="N42" s="7" t="str">
        <f>IF(O42=""," ",VLOOKUP(O42,'[8]2012 личен състав ОТД'!$A:$AO,2,FALSE))</f>
        <v>гл. ас. д-р Румяна Комсалова</v>
      </c>
      <c r="O42" s="3" t="s">
        <v>463</v>
      </c>
      <c r="P42" s="7">
        <f>IF(O42=""," ",VLOOKUP(O42,'[8]2012 личен състав ОТД'!$A:$AO,13,FALSE))</f>
        <v>1954</v>
      </c>
      <c r="Q42" s="7" t="str">
        <f>IF(O42=""," ",VLOOKUP(O42,'[8]2012 личен състав ОТД'!$A:$AO,12,FALSE))</f>
        <v>ОТД</v>
      </c>
      <c r="R42" s="7" t="str">
        <f>IF(A42=""," ",VLOOKUP(A42,'Профилиращ лист'!A:B,2,FALSE))</f>
        <v>СПЕ</v>
      </c>
      <c r="T42" s="7">
        <f t="shared" ca="1" si="15"/>
        <v>59</v>
      </c>
    </row>
    <row r="43" spans="1:28" ht="15" customHeight="1" x14ac:dyDescent="0.25">
      <c r="A43" s="8" t="s">
        <v>40</v>
      </c>
      <c r="B43" s="8">
        <v>30</v>
      </c>
      <c r="C43" s="4">
        <v>45</v>
      </c>
      <c r="D43" s="4">
        <v>30</v>
      </c>
      <c r="E43" s="4">
        <v>15</v>
      </c>
      <c r="F43" s="4">
        <f>C43-D43-E43</f>
        <v>0</v>
      </c>
      <c r="G43" s="4">
        <f t="shared" si="17"/>
        <v>45</v>
      </c>
      <c r="H43" s="4">
        <f t="shared" si="18"/>
        <v>90</v>
      </c>
      <c r="I43" s="4">
        <v>3</v>
      </c>
      <c r="J43" s="4" t="s">
        <v>12</v>
      </c>
      <c r="K43" s="73">
        <f t="shared" si="12"/>
        <v>45</v>
      </c>
      <c r="L43" s="73">
        <f t="shared" si="13"/>
        <v>30</v>
      </c>
      <c r="M43" s="73">
        <f t="shared" si="14"/>
        <v>15</v>
      </c>
      <c r="N43" s="7" t="str">
        <f>IF(O43=""," ",VLOOKUP(O43,'[8]2012 личен състав ОТД'!$A:$AO,2,FALSE))</f>
        <v>проф. дфн Диана Иванова</v>
      </c>
      <c r="O43" s="3" t="s">
        <v>469</v>
      </c>
      <c r="P43" s="7">
        <f>IF(O43=""," ",VLOOKUP(O43,'[8]2012 личен състав ОТД'!$A:$AO,13,FALSE))</f>
        <v>1950</v>
      </c>
      <c r="Q43" s="7" t="str">
        <f>IF(O43=""," ",VLOOKUP(O43,'[8]2012 личен състав ОТД'!$A:$AO,12,FALSE))</f>
        <v>ОТД</v>
      </c>
      <c r="R43" s="7" t="str">
        <f>IF(A43=""," ",VLOOKUP(A43,'Профилиращ лист'!A:B,2,FALSE))</f>
        <v>СПЕ</v>
      </c>
      <c r="T43" s="7">
        <f t="shared" ca="1" si="15"/>
        <v>63</v>
      </c>
      <c r="AB43" s="7" t="s">
        <v>574</v>
      </c>
    </row>
    <row r="44" spans="1:28" ht="15" customHeight="1" x14ac:dyDescent="0.25">
      <c r="A44" s="8" t="s">
        <v>97</v>
      </c>
      <c r="B44" s="8">
        <v>60</v>
      </c>
      <c r="C44" s="4">
        <v>60</v>
      </c>
      <c r="D44" s="4">
        <v>45</v>
      </c>
      <c r="E44" s="4">
        <v>15</v>
      </c>
      <c r="F44" s="4">
        <f>C44-D44-E44</f>
        <v>0</v>
      </c>
      <c r="G44" s="4">
        <f t="shared" si="17"/>
        <v>60</v>
      </c>
      <c r="H44" s="4">
        <f t="shared" si="18"/>
        <v>120</v>
      </c>
      <c r="I44" s="4">
        <v>4</v>
      </c>
      <c r="J44" s="6" t="s">
        <v>12</v>
      </c>
      <c r="K44" s="73">
        <f t="shared" si="12"/>
        <v>60</v>
      </c>
      <c r="L44" s="73">
        <f t="shared" si="13"/>
        <v>45</v>
      </c>
      <c r="M44" s="73">
        <f t="shared" si="14"/>
        <v>15</v>
      </c>
      <c r="N44" s="7" t="str">
        <f>IF(O44=""," ",VLOOKUP(O44,'[8]2012 личен състав ОТД'!$A:$AO,2,FALSE))</f>
        <v>гл. ас. д-р Симеон Кацаров</v>
      </c>
      <c r="O44" s="3" t="s">
        <v>470</v>
      </c>
      <c r="P44" s="7">
        <f>IF(O44=""," ",VLOOKUP(O44,'[8]2012 личен състав ОТД'!$A:$AO,13,FALSE))</f>
        <v>1968</v>
      </c>
      <c r="Q44" s="7" t="str">
        <f>IF(O44=""," ",VLOOKUP(O44,'[8]2012 личен състав ОТД'!$A:$AO,12,FALSE))</f>
        <v>ОТД</v>
      </c>
      <c r="R44" s="7" t="str">
        <f>IF(A44=""," ",VLOOKUP(A44,'Профилиращ лист'!A:B,2,FALSE))</f>
        <v>ОИД</v>
      </c>
      <c r="T44" s="7">
        <f t="shared" ca="1" si="15"/>
        <v>45</v>
      </c>
    </row>
    <row r="45" spans="1:28" ht="15.95" customHeight="1" x14ac:dyDescent="0.25">
      <c r="A45" s="8" t="s">
        <v>27</v>
      </c>
      <c r="B45" s="4">
        <v>15</v>
      </c>
      <c r="C45" s="4">
        <v>30</v>
      </c>
      <c r="D45" s="4">
        <v>0</v>
      </c>
      <c r="E45" s="4">
        <v>0</v>
      </c>
      <c r="F45" s="4">
        <v>30</v>
      </c>
      <c r="G45" s="4">
        <f t="shared" si="17"/>
        <v>30</v>
      </c>
      <c r="H45" s="4">
        <f t="shared" si="18"/>
        <v>60</v>
      </c>
      <c r="I45" s="4">
        <v>2</v>
      </c>
      <c r="J45" s="4" t="s">
        <v>18</v>
      </c>
      <c r="K45" s="73">
        <f t="shared" si="12"/>
        <v>30</v>
      </c>
      <c r="L45" s="73">
        <f t="shared" si="13"/>
        <v>0</v>
      </c>
      <c r="M45" s="73">
        <f t="shared" si="14"/>
        <v>30</v>
      </c>
      <c r="N45" s="7" t="str">
        <f>IF(O45=""," ",VLOOKUP(O45,'[8]2012 личен състав ОТД'!$A:$AO,2,FALSE))</f>
        <v xml:space="preserve"> </v>
      </c>
      <c r="O45" s="3"/>
      <c r="P45" s="7" t="str">
        <f>IF(O45=""," ",VLOOKUP(O45,'[8]2012 личен състав ОТД'!$A:$AO,13,FALSE))</f>
        <v xml:space="preserve"> </v>
      </c>
      <c r="Q45" s="7" t="str">
        <f>IF(O45=""," ",VLOOKUP(O45,'[8]2012 личен състав ОТД'!$A:$AO,12,FALSE))</f>
        <v xml:space="preserve"> </v>
      </c>
      <c r="R45" s="7" t="str">
        <f>IF(A45=""," ",VLOOKUP(A45,'Профилиращ лист'!A:B,2,FALSE))</f>
        <v>ФД</v>
      </c>
      <c r="T45" s="7" t="e">
        <f t="shared" ca="1" si="15"/>
        <v>#VALUE!</v>
      </c>
    </row>
    <row r="46" spans="1:28" ht="15" customHeight="1" x14ac:dyDescent="0.25">
      <c r="A46" s="8" t="s">
        <v>42</v>
      </c>
      <c r="B46" s="4">
        <v>60</v>
      </c>
      <c r="C46" s="4">
        <v>60</v>
      </c>
      <c r="D46" s="4">
        <v>60</v>
      </c>
      <c r="E46" s="4">
        <v>0</v>
      </c>
      <c r="F46" s="4">
        <v>0</v>
      </c>
      <c r="G46" s="4">
        <f t="shared" si="17"/>
        <v>60</v>
      </c>
      <c r="H46" s="4">
        <f t="shared" si="18"/>
        <v>120</v>
      </c>
      <c r="I46" s="4">
        <v>4</v>
      </c>
      <c r="J46" s="4" t="s">
        <v>12</v>
      </c>
      <c r="K46" s="73">
        <f t="shared" si="12"/>
        <v>60</v>
      </c>
      <c r="L46" s="73">
        <f t="shared" si="13"/>
        <v>60</v>
      </c>
      <c r="M46" s="73">
        <f t="shared" si="14"/>
        <v>0</v>
      </c>
      <c r="N46" s="7" t="str">
        <f>IF(O46=""," ",VLOOKUP(O46,'[8]2012 личен състав ОТД'!$A:$AO,2,FALSE))</f>
        <v>доц. д-р Николай Нейчев</v>
      </c>
      <c r="O46" s="3" t="s">
        <v>471</v>
      </c>
      <c r="P46" s="7">
        <f>IF(O46=""," ",VLOOKUP(O46,'[8]2012 личен състав ОТД'!$A:$AO,13,FALSE))</f>
        <v>1959</v>
      </c>
      <c r="Q46" s="7" t="str">
        <f>IF(O46=""," ",VLOOKUP(O46,'[8]2012 личен състав ОТД'!$A:$AO,12,FALSE))</f>
        <v>ОТД</v>
      </c>
      <c r="R46" s="7" t="str">
        <f>IF(A46=""," ",VLOOKUP(A46,'Профилиращ лист'!A:B,2,FALSE))</f>
        <v>ОФД</v>
      </c>
      <c r="T46" s="7">
        <f t="shared" ca="1" si="15"/>
        <v>54</v>
      </c>
    </row>
    <row r="47" spans="1:28" ht="15" customHeight="1" x14ac:dyDescent="0.25">
      <c r="A47" s="8" t="s">
        <v>94</v>
      </c>
      <c r="B47" s="8">
        <v>45</v>
      </c>
      <c r="C47" s="4">
        <v>45</v>
      </c>
      <c r="D47" s="4">
        <v>30</v>
      </c>
      <c r="E47" s="4">
        <v>15</v>
      </c>
      <c r="F47" s="4">
        <f>C47-D47-E47</f>
        <v>0</v>
      </c>
      <c r="G47" s="4">
        <f t="shared" si="17"/>
        <v>45</v>
      </c>
      <c r="H47" s="4">
        <f t="shared" si="18"/>
        <v>90</v>
      </c>
      <c r="I47" s="4">
        <v>3</v>
      </c>
      <c r="J47" s="6" t="s">
        <v>12</v>
      </c>
      <c r="K47" s="73">
        <f t="shared" si="12"/>
        <v>90</v>
      </c>
      <c r="L47" s="73">
        <f t="shared" si="13"/>
        <v>60</v>
      </c>
      <c r="M47" s="73">
        <f t="shared" si="14"/>
        <v>30</v>
      </c>
      <c r="N47" s="7" t="str">
        <f>IF(O47=""," ",VLOOKUP(O47,'[8]2012 личен състав ОТД'!$A:$AO,2,FALSE))</f>
        <v>гл. ас. д-р Симеон Кацаров</v>
      </c>
      <c r="O47" s="3" t="s">
        <v>470</v>
      </c>
      <c r="P47" s="7">
        <f>IF(O47=""," ",VLOOKUP(O47,'[8]2012 личен състав ОТД'!$A:$AO,13,FALSE))</f>
        <v>1968</v>
      </c>
      <c r="Q47" s="7" t="str">
        <f>IF(O47=""," ",VLOOKUP(O47,'[8]2012 личен състав ОТД'!$A:$AO,12,FALSE))</f>
        <v>ОТД</v>
      </c>
      <c r="R47" s="7" t="str">
        <f>IF(A47=""," ",VLOOKUP(A47,'Профилиращ лист'!A:B,2,FALSE))</f>
        <v>ОИД</v>
      </c>
      <c r="T47" s="7">
        <f t="shared" ca="1" si="15"/>
        <v>45</v>
      </c>
    </row>
    <row r="48" spans="1:28" ht="15" customHeight="1" x14ac:dyDescent="0.25">
      <c r="A48" s="8" t="s">
        <v>44</v>
      </c>
      <c r="B48" s="4">
        <v>30</v>
      </c>
      <c r="C48" s="4">
        <v>45</v>
      </c>
      <c r="D48" s="4">
        <v>30</v>
      </c>
      <c r="E48" s="4">
        <v>15</v>
      </c>
      <c r="F48" s="4">
        <v>0</v>
      </c>
      <c r="G48" s="4">
        <f t="shared" si="17"/>
        <v>15</v>
      </c>
      <c r="H48" s="4">
        <f t="shared" si="18"/>
        <v>60</v>
      </c>
      <c r="I48" s="4">
        <v>2</v>
      </c>
      <c r="J48" s="4" t="s">
        <v>14</v>
      </c>
      <c r="K48" s="73">
        <f t="shared" si="12"/>
        <v>90</v>
      </c>
      <c r="L48" s="73">
        <f t="shared" si="13"/>
        <v>60</v>
      </c>
      <c r="M48" s="73">
        <f t="shared" si="14"/>
        <v>30</v>
      </c>
      <c r="N48" s="7" t="str">
        <f>IF(O48=""," ",VLOOKUP(O48,'[8]2012 личен състав ОТД'!$A:$AO,2,FALSE))</f>
        <v xml:space="preserve"> </v>
      </c>
      <c r="O48" s="3"/>
      <c r="P48" s="7" t="str">
        <f>IF(O48=""," ",VLOOKUP(O48,'[8]2012 личен състав ОТД'!$A:$AO,13,FALSE))</f>
        <v xml:space="preserve"> </v>
      </c>
      <c r="Q48" s="7" t="str">
        <f>IF(O48=""," ",VLOOKUP(O48,'[8]2012 личен състав ОТД'!$A:$AO,12,FALSE))</f>
        <v xml:space="preserve"> </v>
      </c>
      <c r="R48" s="7" t="str">
        <f>IF(A48=""," ",VLOOKUP(A48,'Профилиращ лист'!A:B,2,FALSE))</f>
        <v>СПЕ</v>
      </c>
      <c r="T48" s="7" t="e">
        <f t="shared" ca="1" si="15"/>
        <v>#VALUE!</v>
      </c>
    </row>
    <row r="49" spans="1:20" ht="15" customHeight="1" x14ac:dyDescent="0.25">
      <c r="B49" s="9">
        <f>SUM(B39:B48)</f>
        <v>375</v>
      </c>
      <c r="C49" s="9">
        <f>SUM(C39:C48)</f>
        <v>435</v>
      </c>
      <c r="D49" s="9">
        <f t="shared" ref="D49:I49" si="19">SUM(D39:D48)</f>
        <v>300</v>
      </c>
      <c r="E49" s="9">
        <f t="shared" si="19"/>
        <v>105</v>
      </c>
      <c r="F49" s="9">
        <f>C49-D49-E49</f>
        <v>30</v>
      </c>
      <c r="G49" s="9">
        <f t="shared" si="19"/>
        <v>465</v>
      </c>
      <c r="H49" s="9">
        <f t="shared" si="19"/>
        <v>900</v>
      </c>
      <c r="I49" s="9">
        <f t="shared" si="19"/>
        <v>30</v>
      </c>
      <c r="J49" s="6"/>
      <c r="K49" s="73">
        <f t="shared" si="12"/>
        <v>0</v>
      </c>
      <c r="L49" s="73">
        <f t="shared" si="13"/>
        <v>0</v>
      </c>
      <c r="M49" s="73">
        <f t="shared" si="14"/>
        <v>0</v>
      </c>
      <c r="N49" s="7" t="str">
        <f>IF(O49=""," ",VLOOKUP(O49,'[8]2012 личен състав ОТД'!$A:$AO,2,FALSE))</f>
        <v xml:space="preserve"> </v>
      </c>
      <c r="O49" s="3"/>
      <c r="P49" s="7" t="str">
        <f>IF(O49=""," ",VLOOKUP(O49,'[8]2012 личен състав ОТД'!$A:$AO,13,FALSE))</f>
        <v xml:space="preserve"> </v>
      </c>
      <c r="Q49" s="7" t="str">
        <f>IF(O49=""," ",VLOOKUP(O49,'[8]2012 личен състав ОТД'!$A:$AO,12,FALSE))</f>
        <v xml:space="preserve"> </v>
      </c>
      <c r="R49" s="7" t="str">
        <f>IF(A49=""," ",VLOOKUP(A49,'Профилиращ лист'!A:B,2,FALSE))</f>
        <v xml:space="preserve"> </v>
      </c>
      <c r="T49" s="7" t="e">
        <f t="shared" ca="1" si="15"/>
        <v>#VALUE!</v>
      </c>
    </row>
    <row r="50" spans="1:20" ht="15" customHeight="1" x14ac:dyDescent="0.25">
      <c r="A50" s="1" t="s">
        <v>46</v>
      </c>
      <c r="B50" s="1"/>
      <c r="J50" s="6"/>
      <c r="K50" s="73">
        <f t="shared" si="12"/>
        <v>0</v>
      </c>
      <c r="L50" s="73">
        <f t="shared" si="13"/>
        <v>0</v>
      </c>
      <c r="M50" s="73">
        <f t="shared" si="14"/>
        <v>0</v>
      </c>
      <c r="N50" s="7" t="str">
        <f>IF(O50=""," ",VLOOKUP(O50,'[8]2012 личен състав ОТД'!$A:$AO,2,FALSE))</f>
        <v xml:space="preserve"> </v>
      </c>
      <c r="O50" s="3"/>
      <c r="P50" s="7" t="str">
        <f>IF(O50=""," ",VLOOKUP(O50,'[8]2012 личен състав ОТД'!$A:$AO,13,FALSE))</f>
        <v xml:space="preserve"> </v>
      </c>
      <c r="Q50" s="7" t="str">
        <f>IF(O50=""," ",VLOOKUP(O50,'[8]2012 личен състав ОТД'!$A:$AO,12,FALSE))</f>
        <v xml:space="preserve"> </v>
      </c>
      <c r="R50" s="7" t="e">
        <f>IF(A50=""," ",VLOOKUP(A50,'Профилиращ лист'!A:B,2,FALSE))</f>
        <v>#N/A</v>
      </c>
      <c r="T50" s="7" t="e">
        <f t="shared" ca="1" si="15"/>
        <v>#VALUE!</v>
      </c>
    </row>
    <row r="51" spans="1:20" ht="15" customHeight="1" x14ac:dyDescent="0.25">
      <c r="A51" s="8" t="s">
        <v>39</v>
      </c>
      <c r="B51" s="4">
        <v>30</v>
      </c>
      <c r="C51" s="4">
        <v>60</v>
      </c>
      <c r="D51" s="4">
        <v>30</v>
      </c>
      <c r="E51" s="4">
        <v>30</v>
      </c>
      <c r="F51" s="4">
        <v>0</v>
      </c>
      <c r="G51" s="4">
        <f>H51-C51</f>
        <v>60</v>
      </c>
      <c r="H51" s="4">
        <f>I51*30</f>
        <v>120</v>
      </c>
      <c r="I51" s="4">
        <v>4</v>
      </c>
      <c r="J51" s="4" t="s">
        <v>12</v>
      </c>
      <c r="K51" s="73">
        <f t="shared" si="12"/>
        <v>105</v>
      </c>
      <c r="L51" s="73">
        <f t="shared" si="13"/>
        <v>60</v>
      </c>
      <c r="M51" s="73">
        <f t="shared" si="14"/>
        <v>45</v>
      </c>
      <c r="N51" s="7" t="str">
        <f>IF(O51=""," ",VLOOKUP(O51,'[8]2012 личен състав ОТД'!$A:$AO,2,FALSE))</f>
        <v>доц. д-р Светла Черпокова-Захариева</v>
      </c>
      <c r="O51" s="3" t="s">
        <v>472</v>
      </c>
      <c r="P51" s="7">
        <f>IF(O51=""," ",VLOOKUP(O51,'[8]2012 личен състав ОТД'!$A:$AO,13,FALSE))</f>
        <v>1967</v>
      </c>
      <c r="Q51" s="7" t="str">
        <f>IF(O51=""," ",VLOOKUP(O51,'[8]2012 личен състав ОТД'!$A:$AO,12,FALSE))</f>
        <v>ОТД</v>
      </c>
      <c r="R51" s="7" t="str">
        <f>IF(A51=""," ",VLOOKUP(A51,'Профилиращ лист'!A:B,2,FALSE))</f>
        <v>СПЕ</v>
      </c>
      <c r="T51" s="7">
        <f t="shared" ca="1" si="15"/>
        <v>46</v>
      </c>
    </row>
    <row r="52" spans="1:20" ht="15" customHeight="1" x14ac:dyDescent="0.25">
      <c r="A52" s="8" t="s">
        <v>47</v>
      </c>
      <c r="B52" s="4">
        <v>30</v>
      </c>
      <c r="C52" s="4">
        <v>30</v>
      </c>
      <c r="D52" s="4">
        <v>30</v>
      </c>
      <c r="E52" s="4">
        <v>0</v>
      </c>
      <c r="F52" s="4">
        <v>0</v>
      </c>
      <c r="G52" s="4">
        <f t="shared" ref="G52:G58" si="20">H52-C52</f>
        <v>60</v>
      </c>
      <c r="H52" s="4">
        <f t="shared" ref="H52:H58" si="21">I52*30</f>
        <v>90</v>
      </c>
      <c r="I52" s="4">
        <v>3</v>
      </c>
      <c r="J52" s="4" t="s">
        <v>14</v>
      </c>
      <c r="K52" s="73">
        <f t="shared" si="12"/>
        <v>90</v>
      </c>
      <c r="L52" s="73">
        <f t="shared" si="13"/>
        <v>60</v>
      </c>
      <c r="M52" s="73">
        <f t="shared" si="14"/>
        <v>30</v>
      </c>
      <c r="N52" s="7" t="str">
        <f>IF(O52=""," ",VLOOKUP(O52,'[8]2012 личен състав ОТД'!$A:$AO,2,FALSE))</f>
        <v xml:space="preserve"> </v>
      </c>
      <c r="O52" s="3"/>
      <c r="P52" s="7" t="str">
        <f>IF(O52=""," ",VLOOKUP(O52,'[8]2012 личен състав ОТД'!$A:$AO,13,FALSE))</f>
        <v xml:space="preserve"> </v>
      </c>
      <c r="Q52" s="7" t="str">
        <f>IF(O52=""," ",VLOOKUP(O52,'[8]2012 личен състав ОТД'!$A:$AO,12,FALSE))</f>
        <v xml:space="preserve"> </v>
      </c>
      <c r="R52" s="7" t="str">
        <f>IF(A52=""," ",VLOOKUP(A52,'Профилиращ лист'!A:B,2,FALSE))</f>
        <v>СПЕ</v>
      </c>
      <c r="T52" s="7" t="e">
        <f t="shared" ca="1" si="15"/>
        <v>#VALUE!</v>
      </c>
    </row>
    <row r="53" spans="1:20" ht="15" customHeight="1" x14ac:dyDescent="0.25">
      <c r="A53" s="8" t="s">
        <v>49</v>
      </c>
      <c r="B53" s="4">
        <v>45</v>
      </c>
      <c r="C53" s="4">
        <v>30</v>
      </c>
      <c r="D53" s="4">
        <v>30</v>
      </c>
      <c r="E53" s="4">
        <v>0</v>
      </c>
      <c r="F53" s="4">
        <v>0</v>
      </c>
      <c r="G53" s="4">
        <f t="shared" si="20"/>
        <v>60</v>
      </c>
      <c r="H53" s="4">
        <f t="shared" si="21"/>
        <v>90</v>
      </c>
      <c r="I53" s="4">
        <v>3</v>
      </c>
      <c r="J53" s="4" t="s">
        <v>14</v>
      </c>
      <c r="K53" s="73">
        <f t="shared" si="12"/>
        <v>75</v>
      </c>
      <c r="L53" s="73">
        <f t="shared" si="13"/>
        <v>60</v>
      </c>
      <c r="M53" s="73">
        <f t="shared" si="14"/>
        <v>15</v>
      </c>
      <c r="N53" s="7" t="str">
        <f>IF(O53=""," ",VLOOKUP(O53,'[8]2012 личен състав ОТД'!$A:$AO,2,FALSE))</f>
        <v xml:space="preserve"> </v>
      </c>
      <c r="O53" s="3"/>
      <c r="P53" s="7" t="str">
        <f>IF(O53=""," ",VLOOKUP(O53,'[8]2012 личен състав ОТД'!$A:$AO,13,FALSE))</f>
        <v xml:space="preserve"> </v>
      </c>
      <c r="Q53" s="7" t="str">
        <f>IF(O53=""," ",VLOOKUP(O53,'[8]2012 личен състав ОТД'!$A:$AO,12,FALSE))</f>
        <v xml:space="preserve"> </v>
      </c>
      <c r="R53" s="7" t="str">
        <f>IF(A53=""," ",VLOOKUP(A53,'Профилиращ лист'!A:B,2,FALSE))</f>
        <v>ОФД</v>
      </c>
      <c r="T53" s="7" t="e">
        <f t="shared" ca="1" si="15"/>
        <v>#VALUE!</v>
      </c>
    </row>
    <row r="54" spans="1:20" ht="15" customHeight="1" x14ac:dyDescent="0.25">
      <c r="A54" s="8" t="s">
        <v>98</v>
      </c>
      <c r="B54" s="8">
        <v>45</v>
      </c>
      <c r="C54" s="4">
        <v>45</v>
      </c>
      <c r="D54" s="4">
        <v>30</v>
      </c>
      <c r="E54" s="4">
        <v>15</v>
      </c>
      <c r="F54" s="4">
        <f>C54-D54-E54</f>
        <v>0</v>
      </c>
      <c r="G54" s="4">
        <f t="shared" si="20"/>
        <v>75</v>
      </c>
      <c r="H54" s="4">
        <f t="shared" si="21"/>
        <v>120</v>
      </c>
      <c r="I54" s="4">
        <v>4</v>
      </c>
      <c r="J54" s="4" t="s">
        <v>14</v>
      </c>
      <c r="K54" s="73">
        <f t="shared" si="12"/>
        <v>90</v>
      </c>
      <c r="L54" s="73">
        <f t="shared" si="13"/>
        <v>60</v>
      </c>
      <c r="M54" s="73">
        <f t="shared" si="14"/>
        <v>30</v>
      </c>
      <c r="N54" s="7" t="str">
        <f>IF(O54=""," ",VLOOKUP(O54,'[8]2012 личен състав ОТД'!$A:$AO,2,FALSE))</f>
        <v xml:space="preserve"> </v>
      </c>
      <c r="O54" s="3"/>
      <c r="P54" s="7" t="str">
        <f>IF(O54=""," ",VLOOKUP(O54,'[8]2012 личен състав ОТД'!$A:$AO,13,FALSE))</f>
        <v xml:space="preserve"> </v>
      </c>
      <c r="Q54" s="7" t="str">
        <f>IF(O54=""," ",VLOOKUP(O54,'[8]2012 личен състав ОТД'!$A:$AO,12,FALSE))</f>
        <v xml:space="preserve"> </v>
      </c>
      <c r="R54" s="7" t="str">
        <f>IF(A54=""," ",VLOOKUP(A54,'Профилиращ лист'!A:B,2,FALSE))</f>
        <v>ОИД</v>
      </c>
      <c r="T54" s="7" t="e">
        <f t="shared" ca="1" si="15"/>
        <v>#VALUE!</v>
      </c>
    </row>
    <row r="55" spans="1:20" ht="15" customHeight="1" x14ac:dyDescent="0.25">
      <c r="A55" s="8" t="s">
        <v>99</v>
      </c>
      <c r="B55" s="8">
        <v>60</v>
      </c>
      <c r="C55" s="4">
        <v>60</v>
      </c>
      <c r="D55" s="4">
        <v>30</v>
      </c>
      <c r="E55" s="4">
        <v>30</v>
      </c>
      <c r="F55" s="4">
        <f>C55-D55-E55</f>
        <v>0</v>
      </c>
      <c r="G55" s="4">
        <f t="shared" si="20"/>
        <v>90</v>
      </c>
      <c r="H55" s="4">
        <f t="shared" si="21"/>
        <v>150</v>
      </c>
      <c r="I55" s="4">
        <v>5</v>
      </c>
      <c r="J55" s="6" t="s">
        <v>12</v>
      </c>
      <c r="K55" s="73">
        <f t="shared" si="12"/>
        <v>60</v>
      </c>
      <c r="L55" s="73">
        <f t="shared" si="13"/>
        <v>30</v>
      </c>
      <c r="M55" s="73">
        <f t="shared" si="14"/>
        <v>30</v>
      </c>
      <c r="N55" s="7" t="str">
        <f>IF(O55=""," ",VLOOKUP(O55,'[8]2012 личен състав ОТД'!$A:$AO,2,FALSE))</f>
        <v>гл. ас. д-р Симеон Кацаров</v>
      </c>
      <c r="O55" s="3" t="s">
        <v>470</v>
      </c>
      <c r="P55" s="7">
        <f>IF(O55=""," ",VLOOKUP(O55,'[8]2012 личен състав ОТД'!$A:$AO,13,FALSE))</f>
        <v>1968</v>
      </c>
      <c r="Q55" s="7" t="str">
        <f>IF(O55=""," ",VLOOKUP(O55,'[8]2012 личен състав ОТД'!$A:$AO,12,FALSE))</f>
        <v>ОТД</v>
      </c>
      <c r="R55" s="7" t="str">
        <f>IF(A55=""," ",VLOOKUP(A55,'Профилиращ лист'!A:B,2,FALSE))</f>
        <v>СПЕ</v>
      </c>
      <c r="T55" s="7">
        <f t="shared" ca="1" si="15"/>
        <v>45</v>
      </c>
    </row>
    <row r="56" spans="1:20" ht="15" customHeight="1" x14ac:dyDescent="0.25">
      <c r="A56" s="8" t="s">
        <v>100</v>
      </c>
      <c r="B56" s="8">
        <v>60</v>
      </c>
      <c r="C56" s="4">
        <v>60</v>
      </c>
      <c r="D56" s="4">
        <v>30</v>
      </c>
      <c r="E56" s="4">
        <v>30</v>
      </c>
      <c r="F56" s="4">
        <f>C56-D56-E56</f>
        <v>0</v>
      </c>
      <c r="G56" s="4">
        <f t="shared" si="20"/>
        <v>120</v>
      </c>
      <c r="H56" s="4">
        <f t="shared" si="21"/>
        <v>180</v>
      </c>
      <c r="I56" s="4">
        <v>6</v>
      </c>
      <c r="J56" s="4" t="s">
        <v>14</v>
      </c>
      <c r="K56" s="73">
        <f t="shared" si="12"/>
        <v>105</v>
      </c>
      <c r="L56" s="73">
        <f t="shared" si="13"/>
        <v>60</v>
      </c>
      <c r="M56" s="73">
        <f t="shared" si="14"/>
        <v>45</v>
      </c>
      <c r="N56" s="7" t="str">
        <f>IF(O56=""," ",VLOOKUP(O56,'[8]2012 личен състав ОТД'!$A:$AO,2,FALSE))</f>
        <v xml:space="preserve"> </v>
      </c>
      <c r="O56" s="3"/>
      <c r="P56" s="7" t="str">
        <f>IF(O56=""," ",VLOOKUP(O56,'[8]2012 личен състав ОТД'!$A:$AO,13,FALSE))</f>
        <v xml:space="preserve"> </v>
      </c>
      <c r="Q56" s="7" t="str">
        <f>IF(O56=""," ",VLOOKUP(O56,'[8]2012 личен състав ОТД'!$A:$AO,12,FALSE))</f>
        <v xml:space="preserve"> </v>
      </c>
      <c r="R56" s="7" t="str">
        <f>IF(A56=""," ",VLOOKUP(A56,'Профилиращ лист'!A:B,2,FALSE))</f>
        <v>ОИД</v>
      </c>
      <c r="T56" s="7" t="e">
        <f t="shared" ca="1" si="15"/>
        <v>#VALUE!</v>
      </c>
    </row>
    <row r="57" spans="1:20" ht="15.95" customHeight="1" x14ac:dyDescent="0.25">
      <c r="A57" s="8" t="s">
        <v>55</v>
      </c>
      <c r="B57" s="4">
        <v>30</v>
      </c>
      <c r="C57" s="4">
        <v>30</v>
      </c>
      <c r="D57" s="4">
        <v>0</v>
      </c>
      <c r="E57" s="4">
        <v>0</v>
      </c>
      <c r="F57" s="4">
        <v>30</v>
      </c>
      <c r="G57" s="4">
        <f t="shared" si="20"/>
        <v>30</v>
      </c>
      <c r="H57" s="4">
        <f t="shared" si="21"/>
        <v>60</v>
      </c>
      <c r="I57" s="4">
        <v>2</v>
      </c>
      <c r="J57" s="4" t="s">
        <v>18</v>
      </c>
      <c r="K57" s="73">
        <f t="shared" si="12"/>
        <v>30</v>
      </c>
      <c r="L57" s="73">
        <f t="shared" si="13"/>
        <v>0</v>
      </c>
      <c r="M57" s="73">
        <f t="shared" si="14"/>
        <v>30</v>
      </c>
      <c r="N57" s="7" t="str">
        <f>IF(O57=""," ",VLOOKUP(O57,'[8]2012 личен състав ОТД'!$A:$AO,2,FALSE))</f>
        <v xml:space="preserve"> </v>
      </c>
      <c r="O57" s="3"/>
      <c r="P57" s="7" t="str">
        <f>IF(O57=""," ",VLOOKUP(O57,'[8]2012 личен състав ОТД'!$A:$AO,13,FALSE))</f>
        <v xml:space="preserve"> </v>
      </c>
      <c r="Q57" s="7" t="str">
        <f>IF(O57=""," ",VLOOKUP(O57,'[8]2012 личен състав ОТД'!$A:$AO,12,FALSE))</f>
        <v xml:space="preserve"> </v>
      </c>
      <c r="R57" s="7" t="str">
        <f>IF(A57=""," ",VLOOKUP(A57,'Профилиращ лист'!A:B,2,FALSE))</f>
        <v>ФД</v>
      </c>
      <c r="T57" s="7" t="e">
        <f t="shared" ca="1" si="15"/>
        <v>#VALUE!</v>
      </c>
    </row>
    <row r="58" spans="1:20" ht="15" customHeight="1" x14ac:dyDescent="0.25">
      <c r="A58" s="8" t="s">
        <v>44</v>
      </c>
      <c r="B58" s="4">
        <v>45</v>
      </c>
      <c r="C58" s="4">
        <v>45</v>
      </c>
      <c r="D58" s="4">
        <v>30</v>
      </c>
      <c r="E58" s="4">
        <v>15</v>
      </c>
      <c r="F58" s="4">
        <v>0</v>
      </c>
      <c r="G58" s="4">
        <f t="shared" si="20"/>
        <v>45</v>
      </c>
      <c r="H58" s="4">
        <f t="shared" si="21"/>
        <v>90</v>
      </c>
      <c r="I58" s="4">
        <v>3</v>
      </c>
      <c r="J58" s="4" t="s">
        <v>12</v>
      </c>
      <c r="K58" s="73">
        <f t="shared" si="12"/>
        <v>90</v>
      </c>
      <c r="L58" s="73">
        <f t="shared" si="13"/>
        <v>60</v>
      </c>
      <c r="M58" s="73">
        <f t="shared" si="14"/>
        <v>30</v>
      </c>
      <c r="N58" s="7" t="str">
        <f>IF(O58=""," ",VLOOKUP(O58,'[8]2012 личен състав ОТД'!$A:$AO,2,FALSE))</f>
        <v>доц. дфн Вера Маровска</v>
      </c>
      <c r="O58" s="3" t="s">
        <v>473</v>
      </c>
      <c r="P58" s="7">
        <f>IF(O58=""," ",VLOOKUP(O58,'[8]2012 личен състав ОТД'!$A:$AO,13,FALSE))</f>
        <v>1954</v>
      </c>
      <c r="Q58" s="7" t="str">
        <f>IF(O58=""," ",VLOOKUP(O58,'[8]2012 личен състав ОТД'!$A:$AO,12,FALSE))</f>
        <v>ОТД</v>
      </c>
      <c r="R58" s="7" t="str">
        <f>IF(A58=""," ",VLOOKUP(A58,'Профилиращ лист'!A:B,2,FALSE))</f>
        <v>СПЕ</v>
      </c>
      <c r="T58" s="7">
        <f t="shared" ca="1" si="15"/>
        <v>59</v>
      </c>
    </row>
    <row r="59" spans="1:20" ht="15" customHeight="1" x14ac:dyDescent="0.25">
      <c r="B59" s="9">
        <f t="shared" ref="B59:I59" si="22">SUM(B51:B58)</f>
        <v>345</v>
      </c>
      <c r="C59" s="9">
        <f t="shared" si="22"/>
        <v>360</v>
      </c>
      <c r="D59" s="9">
        <f t="shared" si="22"/>
        <v>210</v>
      </c>
      <c r="E59" s="9">
        <f t="shared" si="22"/>
        <v>120</v>
      </c>
      <c r="F59" s="9">
        <f t="shared" si="22"/>
        <v>30</v>
      </c>
      <c r="G59" s="9">
        <f t="shared" si="22"/>
        <v>540</v>
      </c>
      <c r="H59" s="9">
        <f t="shared" si="22"/>
        <v>900</v>
      </c>
      <c r="I59" s="9">
        <f t="shared" si="22"/>
        <v>30</v>
      </c>
      <c r="J59" s="6"/>
      <c r="K59" s="73">
        <f t="shared" si="12"/>
        <v>0</v>
      </c>
      <c r="L59" s="73">
        <f t="shared" si="13"/>
        <v>0</v>
      </c>
      <c r="M59" s="73">
        <f t="shared" si="14"/>
        <v>0</v>
      </c>
      <c r="N59" s="7" t="str">
        <f>IF(O59=""," ",VLOOKUP(O59,'[8]2012 личен състав ОТД'!$A:$AO,2,FALSE))</f>
        <v xml:space="preserve"> </v>
      </c>
      <c r="O59" s="3"/>
      <c r="P59" s="7" t="str">
        <f>IF(O59=""," ",VLOOKUP(O59,'[8]2012 личен състав ОТД'!$A:$AO,13,FALSE))</f>
        <v xml:space="preserve"> </v>
      </c>
      <c r="Q59" s="7" t="str">
        <f>IF(O59=""," ",VLOOKUP(O59,'[8]2012 личен състав ОТД'!$A:$AO,12,FALSE))</f>
        <v xml:space="preserve"> </v>
      </c>
      <c r="R59" s="7" t="str">
        <f>IF(A59=""," ",VLOOKUP(A59,'Профилиращ лист'!A:B,2,FALSE))</f>
        <v xml:space="preserve"> </v>
      </c>
      <c r="T59" s="7" t="e">
        <f t="shared" ca="1" si="15"/>
        <v>#VALUE!</v>
      </c>
    </row>
    <row r="60" spans="1:20" ht="15" customHeight="1" x14ac:dyDescent="0.25">
      <c r="A60" s="1" t="s">
        <v>51</v>
      </c>
      <c r="B60" s="1"/>
      <c r="J60" s="6"/>
      <c r="K60" s="73">
        <f t="shared" si="12"/>
        <v>0</v>
      </c>
      <c r="L60" s="73">
        <f t="shared" si="13"/>
        <v>0</v>
      </c>
      <c r="M60" s="73">
        <f t="shared" si="14"/>
        <v>0</v>
      </c>
      <c r="N60" s="7" t="str">
        <f>IF(O60=""," ",VLOOKUP(O60,'[8]2012 личен състав ОТД'!$A:$AO,2,FALSE))</f>
        <v xml:space="preserve"> </v>
      </c>
      <c r="O60" s="3"/>
      <c r="P60" s="7" t="str">
        <f>IF(O60=""," ",VLOOKUP(O60,'[8]2012 личен състав ОТД'!$A:$AO,13,FALSE))</f>
        <v xml:space="preserve"> </v>
      </c>
      <c r="Q60" s="7" t="str">
        <f>IF(O60=""," ",VLOOKUP(O60,'[8]2012 личен състав ОТД'!$A:$AO,12,FALSE))</f>
        <v xml:space="preserve"> </v>
      </c>
      <c r="R60" s="7" t="e">
        <f>IF(A60=""," ",VLOOKUP(A60,'Профилиращ лист'!A:B,2,FALSE))</f>
        <v>#N/A</v>
      </c>
      <c r="T60" s="7" t="e">
        <f t="shared" ca="1" si="15"/>
        <v>#VALUE!</v>
      </c>
    </row>
    <row r="61" spans="1:20" ht="15" customHeight="1" x14ac:dyDescent="0.25">
      <c r="A61" s="8" t="s">
        <v>101</v>
      </c>
      <c r="B61" s="8">
        <v>30</v>
      </c>
      <c r="C61" s="4">
        <v>30</v>
      </c>
      <c r="D61" s="4">
        <v>30</v>
      </c>
      <c r="E61" s="4">
        <v>0</v>
      </c>
      <c r="F61" s="4">
        <f>C61-D61-E61</f>
        <v>0</v>
      </c>
      <c r="G61" s="4">
        <f>H61-C61</f>
        <v>60</v>
      </c>
      <c r="H61" s="4">
        <f>I61*30</f>
        <v>90</v>
      </c>
      <c r="I61" s="4">
        <v>3</v>
      </c>
      <c r="J61" s="6" t="s">
        <v>12</v>
      </c>
      <c r="K61" s="73">
        <f t="shared" si="12"/>
        <v>30</v>
      </c>
      <c r="L61" s="73">
        <f t="shared" si="13"/>
        <v>30</v>
      </c>
      <c r="M61" s="73">
        <f t="shared" si="14"/>
        <v>0</v>
      </c>
      <c r="N61" s="7" t="str">
        <f>IF(O61=""," ",VLOOKUP(O61,'[8]2012 личен състав ОТД'!$A:$AO,2,FALSE))</f>
        <v>гл. ас. д-р Симеон Кацаров</v>
      </c>
      <c r="O61" s="3" t="s">
        <v>470</v>
      </c>
      <c r="P61" s="7">
        <f>IF(O61=""," ",VLOOKUP(O61,'[8]2012 личен състав ОТД'!$A:$AO,13,FALSE))</f>
        <v>1968</v>
      </c>
      <c r="Q61" s="7" t="str">
        <f>IF(O61=""," ",VLOOKUP(O61,'[8]2012 личен състав ОТД'!$A:$AO,12,FALSE))</f>
        <v>ОТД</v>
      </c>
      <c r="R61" s="7" t="str">
        <f>IF(A61=""," ",VLOOKUP(A61,'Профилиращ лист'!A:B,2,FALSE))</f>
        <v>СПЕ</v>
      </c>
      <c r="T61" s="7">
        <f t="shared" ca="1" si="15"/>
        <v>45</v>
      </c>
    </row>
    <row r="62" spans="1:20" ht="15" customHeight="1" x14ac:dyDescent="0.25">
      <c r="A62" s="8" t="s">
        <v>47</v>
      </c>
      <c r="B62" s="4">
        <v>45</v>
      </c>
      <c r="C62" s="4">
        <v>60</v>
      </c>
      <c r="D62" s="4">
        <v>30</v>
      </c>
      <c r="E62" s="4">
        <v>30</v>
      </c>
      <c r="F62" s="4">
        <v>0</v>
      </c>
      <c r="G62" s="4">
        <f t="shared" ref="G62:G70" si="23">H62-C62</f>
        <v>60</v>
      </c>
      <c r="H62" s="4">
        <f t="shared" ref="H62:H70" si="24">I62*30</f>
        <v>120</v>
      </c>
      <c r="I62" s="4">
        <v>4</v>
      </c>
      <c r="J62" s="4" t="s">
        <v>12</v>
      </c>
      <c r="K62" s="73">
        <f t="shared" si="12"/>
        <v>90</v>
      </c>
      <c r="L62" s="73">
        <f t="shared" si="13"/>
        <v>60</v>
      </c>
      <c r="M62" s="73">
        <f t="shared" si="14"/>
        <v>30</v>
      </c>
      <c r="N62" s="7" t="str">
        <f>IF(O62=""," ",VLOOKUP(O62,'[8]2012 личен състав ОТД'!$A:$AO,2,FALSE))</f>
        <v>доц. д-р Живко Иванов</v>
      </c>
      <c r="O62" s="3" t="s">
        <v>474</v>
      </c>
      <c r="P62" s="7">
        <f>IF(O62=""," ",VLOOKUP(O62,'[8]2012 личен състав ОТД'!$A:$AO,13,FALSE))</f>
        <v>1957</v>
      </c>
      <c r="Q62" s="7" t="str">
        <f>IF(O62=""," ",VLOOKUP(O62,'[8]2012 личен състав ОТД'!$A:$AO,12,FALSE))</f>
        <v>ОТД</v>
      </c>
      <c r="R62" s="7" t="str">
        <f>IF(A62=""," ",VLOOKUP(A62,'Профилиращ лист'!A:B,2,FALSE))</f>
        <v>СПЕ</v>
      </c>
      <c r="T62" s="7">
        <f t="shared" ca="1" si="15"/>
        <v>56</v>
      </c>
    </row>
    <row r="63" spans="1:20" ht="15" customHeight="1" x14ac:dyDescent="0.25">
      <c r="A63" s="8" t="s">
        <v>49</v>
      </c>
      <c r="B63" s="4">
        <v>45</v>
      </c>
      <c r="C63" s="4">
        <v>45</v>
      </c>
      <c r="D63" s="4">
        <v>30</v>
      </c>
      <c r="E63" s="4">
        <v>15</v>
      </c>
      <c r="F63" s="4">
        <v>0</v>
      </c>
      <c r="G63" s="4">
        <f t="shared" si="23"/>
        <v>75</v>
      </c>
      <c r="H63" s="4">
        <f t="shared" si="24"/>
        <v>120</v>
      </c>
      <c r="I63" s="4">
        <v>4</v>
      </c>
      <c r="J63" s="4" t="s">
        <v>12</v>
      </c>
      <c r="K63" s="73">
        <f t="shared" si="12"/>
        <v>75</v>
      </c>
      <c r="L63" s="73">
        <f t="shared" si="13"/>
        <v>60</v>
      </c>
      <c r="M63" s="73">
        <f t="shared" si="14"/>
        <v>15</v>
      </c>
      <c r="N63" s="7" t="str">
        <f>IF(O63=""," ",VLOOKUP(O63,'[8]2012 личен състав ОТД'!$A:$AO,2,FALSE))</f>
        <v>доц. д-р Христина Тончева</v>
      </c>
      <c r="O63" s="3" t="s">
        <v>461</v>
      </c>
      <c r="P63" s="7">
        <f>IF(O63=""," ",VLOOKUP(O63,'[8]2012 личен състав ОТД'!$A:$AO,13,FALSE))</f>
        <v>1968</v>
      </c>
      <c r="Q63" s="7" t="str">
        <f>IF(O63=""," ",VLOOKUP(O63,'[8]2012 личен състав ОТД'!$A:$AO,12,FALSE))</f>
        <v>ОТД</v>
      </c>
      <c r="R63" s="7" t="str">
        <f>IF(A63=""," ",VLOOKUP(A63,'Профилиращ лист'!A:B,2,FALSE))</f>
        <v>ОФД</v>
      </c>
      <c r="T63" s="7">
        <f t="shared" ca="1" si="15"/>
        <v>45</v>
      </c>
    </row>
    <row r="64" spans="1:20" ht="15" customHeight="1" x14ac:dyDescent="0.25">
      <c r="A64" s="8" t="s">
        <v>98</v>
      </c>
      <c r="B64" s="8">
        <v>45</v>
      </c>
      <c r="C64" s="4">
        <v>45</v>
      </c>
      <c r="D64" s="4">
        <v>30</v>
      </c>
      <c r="E64" s="4">
        <v>15</v>
      </c>
      <c r="F64" s="4">
        <f>C64-D64-E64</f>
        <v>0</v>
      </c>
      <c r="G64" s="4">
        <f t="shared" si="23"/>
        <v>45</v>
      </c>
      <c r="H64" s="4">
        <f t="shared" si="24"/>
        <v>90</v>
      </c>
      <c r="I64" s="4">
        <v>3</v>
      </c>
      <c r="J64" s="6" t="s">
        <v>12</v>
      </c>
      <c r="K64" s="73">
        <f t="shared" si="12"/>
        <v>90</v>
      </c>
      <c r="L64" s="73">
        <f t="shared" si="13"/>
        <v>60</v>
      </c>
      <c r="M64" s="73">
        <f t="shared" si="14"/>
        <v>30</v>
      </c>
      <c r="N64" s="7" t="str">
        <f>IF(O64=""," ",VLOOKUP(O64,'[8]2012 личен състав ОТД'!$A:$AO,2,FALSE))</f>
        <v>гл. ас. д-р Румяна Комсалова</v>
      </c>
      <c r="O64" s="3" t="s">
        <v>463</v>
      </c>
      <c r="P64" s="7">
        <f>IF(O64=""," ",VLOOKUP(O64,'[8]2012 личен състав ОТД'!$A:$AO,13,FALSE))</f>
        <v>1954</v>
      </c>
      <c r="Q64" s="7" t="str">
        <f>IF(O64=""," ",VLOOKUP(O64,'[8]2012 личен състав ОТД'!$A:$AO,12,FALSE))</f>
        <v>ОТД</v>
      </c>
      <c r="R64" s="7" t="str">
        <f>IF(A64=""," ",VLOOKUP(A64,'Профилиращ лист'!A:B,2,FALSE))</f>
        <v>ОИД</v>
      </c>
      <c r="T64" s="7">
        <f t="shared" ca="1" si="15"/>
        <v>59</v>
      </c>
    </row>
    <row r="65" spans="1:20" ht="15" customHeight="1" x14ac:dyDescent="0.25">
      <c r="A65" s="8" t="s">
        <v>102</v>
      </c>
      <c r="B65" s="8">
        <v>60</v>
      </c>
      <c r="C65" s="4">
        <v>60</v>
      </c>
      <c r="D65" s="4">
        <v>30</v>
      </c>
      <c r="E65" s="4">
        <v>30</v>
      </c>
      <c r="F65" s="4">
        <f>C65-D65-E65</f>
        <v>0</v>
      </c>
      <c r="G65" s="4">
        <f t="shared" si="23"/>
        <v>90</v>
      </c>
      <c r="H65" s="4">
        <f t="shared" si="24"/>
        <v>150</v>
      </c>
      <c r="I65" s="4">
        <v>5</v>
      </c>
      <c r="J65" s="4" t="s">
        <v>14</v>
      </c>
      <c r="K65" s="73">
        <f t="shared" si="12"/>
        <v>60</v>
      </c>
      <c r="L65" s="73">
        <f t="shared" si="13"/>
        <v>30</v>
      </c>
      <c r="M65" s="73">
        <f t="shared" si="14"/>
        <v>30</v>
      </c>
      <c r="N65" s="7" t="str">
        <f>IF(O65=""," ",VLOOKUP(O65,'[8]2012 личен състав ОТД'!$A:$AO,2,FALSE))</f>
        <v xml:space="preserve"> </v>
      </c>
      <c r="O65" s="3"/>
      <c r="P65" s="7" t="str">
        <f>IF(O65=""," ",VLOOKUP(O65,'[8]2012 личен състав ОТД'!$A:$AO,13,FALSE))</f>
        <v xml:space="preserve"> </v>
      </c>
      <c r="Q65" s="7" t="str">
        <f>IF(O65=""," ",VLOOKUP(O65,'[8]2012 личен състав ОТД'!$A:$AO,12,FALSE))</f>
        <v xml:space="preserve"> </v>
      </c>
      <c r="R65" s="7" t="str">
        <f>IF(A65=""," ",VLOOKUP(A65,'Профилиращ лист'!A:B,2,FALSE))</f>
        <v>СПЕ</v>
      </c>
      <c r="T65" s="7" t="e">
        <f t="shared" ca="1" si="15"/>
        <v>#VALUE!</v>
      </c>
    </row>
    <row r="66" spans="1:20" ht="15" customHeight="1" x14ac:dyDescent="0.25">
      <c r="A66" s="8" t="s">
        <v>100</v>
      </c>
      <c r="B66" s="8">
        <v>45</v>
      </c>
      <c r="C66" s="4">
        <v>45</v>
      </c>
      <c r="D66" s="4">
        <v>30</v>
      </c>
      <c r="E66" s="4">
        <v>15</v>
      </c>
      <c r="F66" s="4">
        <f>C66-D66-E66</f>
        <v>0</v>
      </c>
      <c r="G66" s="4">
        <f t="shared" si="23"/>
        <v>45</v>
      </c>
      <c r="H66" s="4">
        <f t="shared" si="24"/>
        <v>90</v>
      </c>
      <c r="I66" s="4">
        <v>3</v>
      </c>
      <c r="J66" s="6" t="s">
        <v>12</v>
      </c>
      <c r="K66" s="73">
        <f t="shared" si="12"/>
        <v>105</v>
      </c>
      <c r="L66" s="73">
        <f t="shared" si="13"/>
        <v>60</v>
      </c>
      <c r="M66" s="73">
        <f t="shared" si="14"/>
        <v>45</v>
      </c>
      <c r="N66" s="7" t="str">
        <f>IF(O66=""," ",VLOOKUP(O66,'[8]2012 личен състав ОТД'!$A:$AO,2,FALSE))</f>
        <v>гл. ас. д-р Димитър Димитров</v>
      </c>
      <c r="O66" s="3" t="s">
        <v>464</v>
      </c>
      <c r="P66" s="7">
        <f>IF(O66=""," ",VLOOKUP(O66,'[8]2012 личен състав ОТД'!$A:$AO,13,FALSE))</f>
        <v>1968</v>
      </c>
      <c r="Q66" s="7" t="str">
        <f>IF(O66=""," ",VLOOKUP(O66,'[8]2012 личен състав ОТД'!$A:$AO,12,FALSE))</f>
        <v>ОТД</v>
      </c>
      <c r="R66" s="7" t="str">
        <f>IF(A66=""," ",VLOOKUP(A66,'Профилиращ лист'!A:B,2,FALSE))</f>
        <v>ОИД</v>
      </c>
      <c r="T66" s="7">
        <f t="shared" ca="1" si="15"/>
        <v>45</v>
      </c>
    </row>
    <row r="67" spans="1:20" ht="15.95" customHeight="1" x14ac:dyDescent="0.25">
      <c r="A67" s="8" t="s">
        <v>72</v>
      </c>
      <c r="B67" s="4">
        <v>30</v>
      </c>
      <c r="C67" s="4">
        <v>30</v>
      </c>
      <c r="D67" s="4">
        <v>0</v>
      </c>
      <c r="E67" s="4">
        <v>0</v>
      </c>
      <c r="F67" s="4">
        <v>30</v>
      </c>
      <c r="G67" s="4">
        <f t="shared" si="23"/>
        <v>30</v>
      </c>
      <c r="H67" s="4">
        <f t="shared" si="24"/>
        <v>60</v>
      </c>
      <c r="I67" s="4">
        <v>2</v>
      </c>
      <c r="J67" s="4" t="s">
        <v>18</v>
      </c>
      <c r="K67" s="73">
        <f t="shared" ref="K67:K98" si="25">SUMIF(A:A,A67,C:C)</f>
        <v>30</v>
      </c>
      <c r="L67" s="73">
        <f t="shared" ref="L67:L98" si="26">SUMIF(A:A,A67,D:D)</f>
        <v>0</v>
      </c>
      <c r="M67" s="73">
        <f t="shared" ref="M67:M98" si="27">SUMIF(A:A,A67,E:E)+SUMIF(A:A,A67,F:F)</f>
        <v>30</v>
      </c>
      <c r="N67" s="7" t="str">
        <f>IF(O67=""," ",VLOOKUP(O67,'[8]2012 личен състав ОТД'!$A:$AO,2,FALSE))</f>
        <v xml:space="preserve"> </v>
      </c>
      <c r="O67" s="3"/>
      <c r="P67" s="7" t="str">
        <f>IF(O67=""," ",VLOOKUP(O67,'[8]2012 личен състав ОТД'!$A:$AO,13,FALSE))</f>
        <v xml:space="preserve"> </v>
      </c>
      <c r="Q67" s="7" t="str">
        <f>IF(O67=""," ",VLOOKUP(O67,'[8]2012 личен състав ОТД'!$A:$AO,12,FALSE))</f>
        <v xml:space="preserve"> </v>
      </c>
      <c r="R67" s="7" t="str">
        <f>IF(A67=""," ",VLOOKUP(A67,'Профилиращ лист'!A:B,2,FALSE))</f>
        <v>ФД</v>
      </c>
      <c r="T67" s="7" t="e">
        <f t="shared" ref="T67:T95" ca="1" si="28">Години-P67</f>
        <v>#VALUE!</v>
      </c>
    </row>
    <row r="68" spans="1:20" ht="15" customHeight="1" x14ac:dyDescent="0.25">
      <c r="A68" s="8" t="s">
        <v>54</v>
      </c>
      <c r="B68" s="4">
        <v>30</v>
      </c>
      <c r="C68" s="4">
        <v>30</v>
      </c>
      <c r="D68" s="4">
        <v>30</v>
      </c>
      <c r="E68" s="4">
        <v>0</v>
      </c>
      <c r="F68" s="4">
        <v>0</v>
      </c>
      <c r="G68" s="4">
        <f t="shared" si="23"/>
        <v>30</v>
      </c>
      <c r="H68" s="4">
        <f t="shared" si="24"/>
        <v>60</v>
      </c>
      <c r="I68" s="4">
        <v>2</v>
      </c>
      <c r="J68" s="4" t="s">
        <v>14</v>
      </c>
      <c r="K68" s="73">
        <f t="shared" si="25"/>
        <v>75</v>
      </c>
      <c r="L68" s="73">
        <f t="shared" si="26"/>
        <v>45</v>
      </c>
      <c r="M68" s="73">
        <f t="shared" si="27"/>
        <v>30</v>
      </c>
      <c r="N68" s="7" t="str">
        <f>IF(O68=""," ",VLOOKUP(O68,'[8]2012 личен състав ОТД'!$A:$AO,2,FALSE))</f>
        <v xml:space="preserve"> </v>
      </c>
      <c r="O68" s="3"/>
      <c r="P68" s="7" t="str">
        <f>IF(O68=""," ",VLOOKUP(O68,'[8]2012 личен състав ОТД'!$A:$AO,13,FALSE))</f>
        <v xml:space="preserve"> </v>
      </c>
      <c r="Q68" s="7" t="str">
        <f>IF(O68=""," ",VLOOKUP(O68,'[8]2012 личен състав ОТД'!$A:$AO,12,FALSE))</f>
        <v xml:space="preserve"> </v>
      </c>
      <c r="R68" s="7" t="str">
        <f>IF(A68=""," ",VLOOKUP(A68,'Профилиращ лист'!A:B,2,FALSE))</f>
        <v>СПЕ</v>
      </c>
      <c r="T68" s="7" t="e">
        <f t="shared" ca="1" si="28"/>
        <v>#VALUE!</v>
      </c>
    </row>
    <row r="69" spans="1:20" ht="15" customHeight="1" x14ac:dyDescent="0.25">
      <c r="A69" s="8" t="s">
        <v>103</v>
      </c>
      <c r="B69" s="8">
        <v>15</v>
      </c>
      <c r="C69" s="4">
        <v>15</v>
      </c>
      <c r="D69" s="4">
        <v>0</v>
      </c>
      <c r="E69" s="4">
        <v>0</v>
      </c>
      <c r="F69" s="4">
        <f>C69-D69-E69</f>
        <v>15</v>
      </c>
      <c r="G69" s="4">
        <f t="shared" si="23"/>
        <v>45</v>
      </c>
      <c r="H69" s="4">
        <f t="shared" si="24"/>
        <v>60</v>
      </c>
      <c r="I69" s="4">
        <v>2</v>
      </c>
      <c r="J69" s="4" t="s">
        <v>18</v>
      </c>
      <c r="K69" s="73">
        <f t="shared" si="25"/>
        <v>15</v>
      </c>
      <c r="L69" s="73">
        <f t="shared" si="26"/>
        <v>0</v>
      </c>
      <c r="M69" s="73">
        <f t="shared" si="27"/>
        <v>15</v>
      </c>
      <c r="N69" s="7" t="str">
        <f>IF(O69=""," ",VLOOKUP(O69,'[8]2012 личен състав ОТД'!$A:$AO,2,FALSE))</f>
        <v xml:space="preserve"> </v>
      </c>
      <c r="O69" s="3"/>
      <c r="P69" s="7" t="str">
        <f>IF(O69=""," ",VLOOKUP(O69,'[8]2012 личен състав ОТД'!$A:$AO,13,FALSE))</f>
        <v xml:space="preserve"> </v>
      </c>
      <c r="Q69" s="7" t="str">
        <f>IF(O69=""," ",VLOOKUP(O69,'[8]2012 личен състав ОТД'!$A:$AO,12,FALSE))</f>
        <v xml:space="preserve"> </v>
      </c>
      <c r="R69" s="7" t="str">
        <f>IF(A69=""," ",VLOOKUP(A69,'Профилиращ лист'!A:B,2,FALSE))</f>
        <v>ПРА</v>
      </c>
      <c r="T69" s="7" t="e">
        <f t="shared" ca="1" si="28"/>
        <v>#VALUE!</v>
      </c>
    </row>
    <row r="70" spans="1:20" ht="15" customHeight="1" x14ac:dyDescent="0.25">
      <c r="A70" s="8" t="s">
        <v>57</v>
      </c>
      <c r="B70" s="4">
        <v>15</v>
      </c>
      <c r="C70" s="4">
        <v>30</v>
      </c>
      <c r="D70" s="4">
        <v>0</v>
      </c>
      <c r="E70" s="4">
        <v>0</v>
      </c>
      <c r="F70" s="4">
        <v>30</v>
      </c>
      <c r="G70" s="4">
        <f t="shared" si="23"/>
        <v>30</v>
      </c>
      <c r="H70" s="4">
        <f t="shared" si="24"/>
        <v>60</v>
      </c>
      <c r="I70" s="4">
        <v>2</v>
      </c>
      <c r="J70" s="4" t="s">
        <v>18</v>
      </c>
      <c r="K70" s="73">
        <f t="shared" si="25"/>
        <v>30</v>
      </c>
      <c r="L70" s="73">
        <f t="shared" si="26"/>
        <v>0</v>
      </c>
      <c r="M70" s="73">
        <f t="shared" si="27"/>
        <v>30</v>
      </c>
      <c r="N70" s="7" t="str">
        <f>IF(O70=""," ",VLOOKUP(O70,'[8]2012 личен състав ОТД'!$A:$AO,2,FALSE))</f>
        <v xml:space="preserve"> </v>
      </c>
      <c r="O70" s="3"/>
      <c r="P70" s="7" t="str">
        <f>IF(O70=""," ",VLOOKUP(O70,'[8]2012 личен състав ОТД'!$A:$AO,13,FALSE))</f>
        <v xml:space="preserve"> </v>
      </c>
      <c r="Q70" s="7" t="str">
        <f>IF(O70=""," ",VLOOKUP(O70,'[8]2012 личен състав ОТД'!$A:$AO,12,FALSE))</f>
        <v xml:space="preserve"> </v>
      </c>
      <c r="R70" s="7" t="str">
        <f>IF(A70=""," ",VLOOKUP(A70,'Профилиращ лист'!A:B,2,FALSE))</f>
        <v>ПЕД</v>
      </c>
      <c r="T70" s="7" t="e">
        <f t="shared" ca="1" si="28"/>
        <v>#VALUE!</v>
      </c>
    </row>
    <row r="71" spans="1:20" ht="15" customHeight="1" x14ac:dyDescent="0.25">
      <c r="B71" s="9">
        <f>SUM(B61:B70)</f>
        <v>360</v>
      </c>
      <c r="C71" s="9">
        <f>SUM(C61:C70)</f>
        <v>390</v>
      </c>
      <c r="D71" s="9">
        <f t="shared" ref="D71:I71" si="29">SUM(D61:D70)</f>
        <v>210</v>
      </c>
      <c r="E71" s="9">
        <f t="shared" si="29"/>
        <v>105</v>
      </c>
      <c r="F71" s="9">
        <f t="shared" si="29"/>
        <v>75</v>
      </c>
      <c r="G71" s="9">
        <f t="shared" si="29"/>
        <v>510</v>
      </c>
      <c r="H71" s="9">
        <f t="shared" si="29"/>
        <v>900</v>
      </c>
      <c r="I71" s="9">
        <f t="shared" si="29"/>
        <v>30</v>
      </c>
      <c r="J71" s="6"/>
      <c r="K71" s="73">
        <f t="shared" si="25"/>
        <v>0</v>
      </c>
      <c r="L71" s="73">
        <f t="shared" si="26"/>
        <v>0</v>
      </c>
      <c r="M71" s="73">
        <f t="shared" si="27"/>
        <v>0</v>
      </c>
      <c r="N71" s="7" t="str">
        <f>IF(O71=""," ",VLOOKUP(O71,'[8]2012 личен състав ОТД'!$A:$AO,2,FALSE))</f>
        <v xml:space="preserve"> </v>
      </c>
      <c r="O71" s="3"/>
      <c r="P71" s="7" t="str">
        <f>IF(O71=""," ",VLOOKUP(O71,'[8]2012 личен състав ОТД'!$A:$AO,13,FALSE))</f>
        <v xml:space="preserve"> </v>
      </c>
      <c r="Q71" s="7" t="str">
        <f>IF(O71=""," ",VLOOKUP(O71,'[8]2012 личен състав ОТД'!$A:$AO,12,FALSE))</f>
        <v xml:space="preserve"> </v>
      </c>
      <c r="R71" s="7" t="str">
        <f>IF(A71=""," ",VLOOKUP(A71,'Профилиращ лист'!A:B,2,FALSE))</f>
        <v xml:space="preserve"> </v>
      </c>
      <c r="T71" s="7" t="e">
        <f t="shared" ca="1" si="28"/>
        <v>#VALUE!</v>
      </c>
    </row>
    <row r="72" spans="1:20" ht="15" customHeight="1" x14ac:dyDescent="0.25">
      <c r="A72" s="1" t="s">
        <v>59</v>
      </c>
      <c r="B72" s="1"/>
      <c r="J72" s="6"/>
      <c r="K72" s="73">
        <f t="shared" si="25"/>
        <v>0</v>
      </c>
      <c r="L72" s="73">
        <f t="shared" si="26"/>
        <v>0</v>
      </c>
      <c r="M72" s="73">
        <f t="shared" si="27"/>
        <v>0</v>
      </c>
      <c r="N72" s="7" t="str">
        <f>IF(O72=""," ",VLOOKUP(O72,'[8]2012 личен състав ОТД'!$A:$AO,2,FALSE))</f>
        <v xml:space="preserve"> </v>
      </c>
      <c r="O72" s="3"/>
      <c r="P72" s="7" t="str">
        <f>IF(O72=""," ",VLOOKUP(O72,'[8]2012 личен състав ОТД'!$A:$AO,13,FALSE))</f>
        <v xml:space="preserve"> </v>
      </c>
      <c r="Q72" s="7" t="str">
        <f>IF(O72=""," ",VLOOKUP(O72,'[8]2012 личен състав ОТД'!$A:$AO,12,FALSE))</f>
        <v xml:space="preserve"> </v>
      </c>
      <c r="R72" s="7" t="e">
        <f>IF(A72=""," ",VLOOKUP(A72,'Профилиращ лист'!A:B,2,FALSE))</f>
        <v>#N/A</v>
      </c>
      <c r="T72" s="7" t="e">
        <f t="shared" ca="1" si="28"/>
        <v>#VALUE!</v>
      </c>
    </row>
    <row r="73" spans="1:20" x14ac:dyDescent="0.25">
      <c r="A73" s="8" t="s">
        <v>62</v>
      </c>
      <c r="B73" s="4">
        <v>45</v>
      </c>
      <c r="C73" s="4">
        <v>45</v>
      </c>
      <c r="D73" s="4">
        <v>45</v>
      </c>
      <c r="E73" s="4">
        <v>0</v>
      </c>
      <c r="F73" s="4">
        <v>0</v>
      </c>
      <c r="G73" s="4">
        <f>H73-C73</f>
        <v>45</v>
      </c>
      <c r="H73" s="4">
        <f>I73*30</f>
        <v>90</v>
      </c>
      <c r="I73" s="4">
        <v>3</v>
      </c>
      <c r="J73" s="4" t="s">
        <v>14</v>
      </c>
      <c r="K73" s="73">
        <f t="shared" si="25"/>
        <v>90</v>
      </c>
      <c r="L73" s="73">
        <f t="shared" si="26"/>
        <v>75</v>
      </c>
      <c r="M73" s="73">
        <f t="shared" si="27"/>
        <v>15</v>
      </c>
      <c r="N73" s="7" t="str">
        <f>IF(O73=""," ",VLOOKUP(O73,'[8]2012 личен състав ОТД'!$A:$AO,2,FALSE))</f>
        <v xml:space="preserve"> </v>
      </c>
      <c r="O73" s="3"/>
      <c r="P73" s="7" t="str">
        <f>IF(O73=""," ",VLOOKUP(O73,'[8]2012 личен състав ОТД'!$A:$AO,13,FALSE))</f>
        <v xml:space="preserve"> </v>
      </c>
      <c r="Q73" s="7" t="str">
        <f>IF(O73=""," ",VLOOKUP(O73,'[8]2012 личен състав ОТД'!$A:$AO,12,FALSE))</f>
        <v xml:space="preserve"> </v>
      </c>
      <c r="R73" s="7" t="str">
        <f>IF(A73=""," ",VLOOKUP(A73,'Профилиращ лист'!A:B,2,FALSE))</f>
        <v>СПЕ</v>
      </c>
      <c r="T73" s="7" t="e">
        <f t="shared" ca="1" si="28"/>
        <v>#VALUE!</v>
      </c>
    </row>
    <row r="74" spans="1:20" ht="15" customHeight="1" x14ac:dyDescent="0.25">
      <c r="A74" s="8" t="s">
        <v>104</v>
      </c>
      <c r="B74" s="8">
        <v>60</v>
      </c>
      <c r="C74" s="4">
        <v>60</v>
      </c>
      <c r="D74" s="4">
        <v>30</v>
      </c>
      <c r="E74" s="4">
        <v>30</v>
      </c>
      <c r="F74" s="4">
        <f>C74-D74-E74</f>
        <v>0</v>
      </c>
      <c r="G74" s="4">
        <f t="shared" ref="G74:G81" si="30">H74-C74</f>
        <v>120</v>
      </c>
      <c r="H74" s="4">
        <f t="shared" ref="H74:H81" si="31">I74*30</f>
        <v>180</v>
      </c>
      <c r="I74" s="4">
        <v>6</v>
      </c>
      <c r="J74" s="6" t="s">
        <v>12</v>
      </c>
      <c r="K74" s="73">
        <f t="shared" si="25"/>
        <v>60</v>
      </c>
      <c r="L74" s="73">
        <f t="shared" si="26"/>
        <v>30</v>
      </c>
      <c r="M74" s="73">
        <f t="shared" si="27"/>
        <v>30</v>
      </c>
      <c r="N74" s="7" t="str">
        <f>IF(O74=""," ",VLOOKUP(O74,'[8]2012 личен състав ОТД'!$A:$AO,2,FALSE))</f>
        <v>проф. д.и.н. Людмил Спасов</v>
      </c>
      <c r="O74" s="3" t="s">
        <v>476</v>
      </c>
      <c r="P74" s="7">
        <f>IF(O74=""," ",VLOOKUP(O74,'[8]2012 личен състав ОТД'!$A:$AO,13,FALSE))</f>
        <v>1948</v>
      </c>
      <c r="Q74" s="7" t="str">
        <f>IF(O74=""," ",VLOOKUP(O74,'[8]2012 личен състав ОТД'!$A:$AO,12,FALSE))</f>
        <v>ОТД</v>
      </c>
      <c r="R74" s="7" t="str">
        <f>IF(A74=""," ",VLOOKUP(A74,'Профилиращ лист'!A:B,2,FALSE))</f>
        <v>СПЕ</v>
      </c>
      <c r="T74" s="7">
        <f t="shared" ca="1" si="28"/>
        <v>65</v>
      </c>
    </row>
    <row r="75" spans="1:20" ht="15" customHeight="1" x14ac:dyDescent="0.25">
      <c r="A75" s="8" t="s">
        <v>64</v>
      </c>
      <c r="B75" s="4">
        <v>15</v>
      </c>
      <c r="C75" s="4">
        <v>15</v>
      </c>
      <c r="D75" s="4">
        <v>15</v>
      </c>
      <c r="E75" s="4">
        <v>0</v>
      </c>
      <c r="F75" s="4">
        <v>0</v>
      </c>
      <c r="G75" s="4">
        <f t="shared" si="30"/>
        <v>75</v>
      </c>
      <c r="H75" s="4">
        <f t="shared" si="31"/>
        <v>90</v>
      </c>
      <c r="I75" s="4">
        <v>3</v>
      </c>
      <c r="J75" s="4" t="s">
        <v>12</v>
      </c>
      <c r="K75" s="73">
        <f t="shared" si="25"/>
        <v>15</v>
      </c>
      <c r="L75" s="73">
        <f t="shared" si="26"/>
        <v>15</v>
      </c>
      <c r="M75" s="73">
        <f t="shared" si="27"/>
        <v>0</v>
      </c>
      <c r="N75" s="7" t="str">
        <f>IF(O75=""," ",VLOOKUP(O75,'[8]2012 личен състав ОТД'!$A:$AO,2,FALSE))</f>
        <v>доц. д-р Соня Спилкова</v>
      </c>
      <c r="O75" s="3" t="s">
        <v>477</v>
      </c>
      <c r="P75" s="7">
        <f>IF(O75=""," ",VLOOKUP(O75,'[8]2012 личен състав ОТД'!$A:$AO,13,FALSE))</f>
        <v>1952</v>
      </c>
      <c r="Q75" s="7" t="str">
        <f>IF(O75=""," ",VLOOKUP(O75,'[8]2012 личен състав ОТД'!$A:$AO,12,FALSE))</f>
        <v>ОТД</v>
      </c>
      <c r="R75" s="7" t="str">
        <f>IF(A75=""," ",VLOOKUP(A75,'Профилиращ лист'!A:B,2,FALSE))</f>
        <v>ПЕД</v>
      </c>
      <c r="T75" s="7">
        <f t="shared" ca="1" si="28"/>
        <v>61</v>
      </c>
    </row>
    <row r="76" spans="1:20" ht="15" customHeight="1" x14ac:dyDescent="0.25">
      <c r="A76" s="8" t="s">
        <v>65</v>
      </c>
      <c r="B76" s="4">
        <v>15</v>
      </c>
      <c r="C76" s="4">
        <v>15</v>
      </c>
      <c r="D76" s="4">
        <v>15</v>
      </c>
      <c r="E76" s="4">
        <v>0</v>
      </c>
      <c r="F76" s="4">
        <v>0</v>
      </c>
      <c r="G76" s="4">
        <f t="shared" si="30"/>
        <v>75</v>
      </c>
      <c r="H76" s="4">
        <f t="shared" si="31"/>
        <v>90</v>
      </c>
      <c r="I76" s="4">
        <v>3</v>
      </c>
      <c r="J76" s="4" t="s">
        <v>12</v>
      </c>
      <c r="K76" s="73">
        <f t="shared" si="25"/>
        <v>15</v>
      </c>
      <c r="L76" s="73">
        <f t="shared" si="26"/>
        <v>15</v>
      </c>
      <c r="M76" s="73">
        <f t="shared" si="27"/>
        <v>0</v>
      </c>
      <c r="N76" s="7" t="str">
        <f>IF(O76=""," ",VLOOKUP(O76,'[8]2012 личен състав ОТД'!$A:$AO,2,FALSE))</f>
        <v>доц. д-р Пенка Гарушева-Карамалакова</v>
      </c>
      <c r="O76" s="3" t="s">
        <v>478</v>
      </c>
      <c r="P76" s="7">
        <f>IF(O76=""," ",VLOOKUP(O76,'[8]2012 личен състав ОТД'!$A:$AO,13,FALSE))</f>
        <v>1947</v>
      </c>
      <c r="Q76" s="7" t="str">
        <f>IF(O76=""," ",VLOOKUP(O76,'[8]2012 личен състав ОТД'!$A:$AO,12,FALSE))</f>
        <v>ОТД</v>
      </c>
      <c r="R76" s="7" t="str">
        <f>IF(A76=""," ",VLOOKUP(A76,'Профилиращ лист'!A:B,2,FALSE))</f>
        <v>ПЕД</v>
      </c>
      <c r="T76" s="7">
        <f t="shared" ca="1" si="28"/>
        <v>66</v>
      </c>
    </row>
    <row r="77" spans="1:20" ht="15" customHeight="1" x14ac:dyDescent="0.25">
      <c r="A77" s="8" t="s">
        <v>105</v>
      </c>
      <c r="B77" s="8">
        <v>30</v>
      </c>
      <c r="C77" s="4">
        <v>30</v>
      </c>
      <c r="D77" s="4">
        <v>30</v>
      </c>
      <c r="E77" s="4">
        <v>15</v>
      </c>
      <c r="F77" s="4">
        <v>0</v>
      </c>
      <c r="G77" s="4">
        <f t="shared" si="30"/>
        <v>90</v>
      </c>
      <c r="H77" s="4">
        <f t="shared" si="31"/>
        <v>120</v>
      </c>
      <c r="I77" s="4">
        <v>4</v>
      </c>
      <c r="J77" s="6" t="s">
        <v>12</v>
      </c>
      <c r="K77" s="73">
        <f t="shared" si="25"/>
        <v>30</v>
      </c>
      <c r="L77" s="73">
        <f t="shared" si="26"/>
        <v>30</v>
      </c>
      <c r="M77" s="73">
        <f t="shared" si="27"/>
        <v>15</v>
      </c>
      <c r="N77" s="7" t="str">
        <f>IF(O77=""," ",VLOOKUP(O77,'[8]2012 личен състав ОТД'!$A:$AO,2,FALSE))</f>
        <v>доц. д-р Иван Джамбов</v>
      </c>
      <c r="O77" s="3" t="s">
        <v>452</v>
      </c>
      <c r="P77" s="7">
        <f>IF(O77=""," ",VLOOKUP(O77,'[8]2012 личен състав ОТД'!$A:$AO,13,FALSE))</f>
        <v>1949</v>
      </c>
      <c r="Q77" s="7" t="str">
        <f>IF(O77=""," ",VLOOKUP(O77,'[8]2012 личен състав ОТД'!$A:$AO,12,FALSE))</f>
        <v>ОТД</v>
      </c>
      <c r="R77" s="7" t="str">
        <f>IF(A77=""," ",VLOOKUP(A77,'Профилиращ лист'!A:B,2,FALSE))</f>
        <v>ПЕД</v>
      </c>
      <c r="T77" s="7">
        <f t="shared" ca="1" si="28"/>
        <v>64</v>
      </c>
    </row>
    <row r="78" spans="1:20" ht="15" customHeight="1" x14ac:dyDescent="0.25">
      <c r="A78" s="8" t="s">
        <v>54</v>
      </c>
      <c r="B78" s="4">
        <v>30</v>
      </c>
      <c r="C78" s="4">
        <v>45</v>
      </c>
      <c r="D78" s="4">
        <v>15</v>
      </c>
      <c r="E78" s="4">
        <v>30</v>
      </c>
      <c r="F78" s="4">
        <v>0</v>
      </c>
      <c r="G78" s="4">
        <f t="shared" si="30"/>
        <v>15</v>
      </c>
      <c r="H78" s="4">
        <f t="shared" si="31"/>
        <v>60</v>
      </c>
      <c r="I78" s="4">
        <v>2</v>
      </c>
      <c r="J78" s="4" t="s">
        <v>12</v>
      </c>
      <c r="K78" s="73">
        <f t="shared" si="25"/>
        <v>75</v>
      </c>
      <c r="L78" s="73">
        <f t="shared" si="26"/>
        <v>45</v>
      </c>
      <c r="M78" s="73">
        <f t="shared" si="27"/>
        <v>30</v>
      </c>
      <c r="N78" s="7" t="str">
        <f>IF(O78=""," ",VLOOKUP(O78,'[8]2012 личен състав ОТД'!$A:$AO,2,FALSE))</f>
        <v>доц. д-р Петя Бъркалова</v>
      </c>
      <c r="O78" s="3" t="s">
        <v>479</v>
      </c>
      <c r="P78" s="7">
        <f>IF(O78=""," ",VLOOKUP(O78,'[8]2012 личен състав ОТД'!$A:$AO,13,FALSE))</f>
        <v>1956</v>
      </c>
      <c r="Q78" s="7" t="str">
        <f>IF(O78=""," ",VLOOKUP(O78,'[8]2012 личен състав ОТД'!$A:$AO,12,FALSE))</f>
        <v>ОТД</v>
      </c>
      <c r="R78" s="7" t="str">
        <f>IF(A78=""," ",VLOOKUP(A78,'Профилиращ лист'!A:B,2,FALSE))</f>
        <v>СПЕ</v>
      </c>
      <c r="T78" s="7">
        <f t="shared" ca="1" si="28"/>
        <v>57</v>
      </c>
    </row>
    <row r="79" spans="1:20" ht="15" customHeight="1" x14ac:dyDescent="0.25">
      <c r="A79" s="8" t="s">
        <v>106</v>
      </c>
      <c r="B79" s="8">
        <v>45</v>
      </c>
      <c r="C79" s="4">
        <v>45</v>
      </c>
      <c r="D79" s="4">
        <v>30</v>
      </c>
      <c r="E79" s="4">
        <v>15</v>
      </c>
      <c r="F79" s="4">
        <f>C79-D79-E79</f>
        <v>0</v>
      </c>
      <c r="G79" s="4">
        <f t="shared" si="30"/>
        <v>105</v>
      </c>
      <c r="H79" s="4">
        <f t="shared" si="31"/>
        <v>150</v>
      </c>
      <c r="I79" s="4">
        <v>5</v>
      </c>
      <c r="J79" s="4" t="s">
        <v>14</v>
      </c>
      <c r="K79" s="73">
        <f t="shared" si="25"/>
        <v>105</v>
      </c>
      <c r="L79" s="73">
        <f t="shared" si="26"/>
        <v>60</v>
      </c>
      <c r="M79" s="73">
        <f t="shared" si="27"/>
        <v>45</v>
      </c>
      <c r="N79" s="7" t="str">
        <f>IF(O79=""," ",VLOOKUP(O79,'[8]2012 личен състав ОТД'!$A:$AO,2,FALSE))</f>
        <v xml:space="preserve"> </v>
      </c>
      <c r="O79" s="3"/>
      <c r="P79" s="7" t="str">
        <f>IF(O79=""," ",VLOOKUP(O79,'[8]2012 личен състав ОТД'!$A:$AO,13,FALSE))</f>
        <v xml:space="preserve"> </v>
      </c>
      <c r="Q79" s="7" t="str">
        <f>IF(O79=""," ",VLOOKUP(O79,'[8]2012 личен състав ОТД'!$A:$AO,12,FALSE))</f>
        <v xml:space="preserve"> </v>
      </c>
      <c r="R79" s="7" t="str">
        <f>IF(A79=""," ",VLOOKUP(A79,'Профилиращ лист'!A:B,2,FALSE))</f>
        <v>ОИД</v>
      </c>
      <c r="T79" s="7" t="e">
        <f t="shared" ca="1" si="28"/>
        <v>#VALUE!</v>
      </c>
    </row>
    <row r="80" spans="1:20" ht="15" customHeight="1" x14ac:dyDescent="0.25">
      <c r="A80" s="8" t="s">
        <v>66</v>
      </c>
      <c r="B80" s="4">
        <v>30</v>
      </c>
      <c r="C80" s="4">
        <v>30</v>
      </c>
      <c r="D80" s="4">
        <v>0</v>
      </c>
      <c r="E80" s="4">
        <v>0</v>
      </c>
      <c r="F80" s="4">
        <v>30</v>
      </c>
      <c r="G80" s="4">
        <f t="shared" si="30"/>
        <v>30</v>
      </c>
      <c r="H80" s="4">
        <f t="shared" si="31"/>
        <v>60</v>
      </c>
      <c r="I80" s="4">
        <v>2</v>
      </c>
      <c r="J80" s="4" t="s">
        <v>18</v>
      </c>
      <c r="K80" s="73">
        <f t="shared" si="25"/>
        <v>30</v>
      </c>
      <c r="L80" s="73">
        <f t="shared" si="26"/>
        <v>0</v>
      </c>
      <c r="M80" s="73">
        <f t="shared" si="27"/>
        <v>30</v>
      </c>
      <c r="N80" s="7" t="str">
        <f>IF(O80=""," ",VLOOKUP(O80,'[8]2012 личен състав ОТД'!$A:$AO,2,FALSE))</f>
        <v xml:space="preserve"> </v>
      </c>
      <c r="O80" s="3"/>
      <c r="P80" s="7" t="str">
        <f>IF(O80=""," ",VLOOKUP(O80,'[8]2012 личен състав ОТД'!$A:$AO,13,FALSE))</f>
        <v xml:space="preserve"> </v>
      </c>
      <c r="Q80" s="7" t="str">
        <f>IF(O80=""," ",VLOOKUP(O80,'[8]2012 личен състав ОТД'!$A:$AO,12,FALSE))</f>
        <v xml:space="preserve"> </v>
      </c>
      <c r="R80" s="7" t="str">
        <f>IF(A80=""," ",VLOOKUP(A80,'Профилиращ лист'!A:B,2,FALSE))</f>
        <v>ПЕД</v>
      </c>
      <c r="T80" s="7" t="e">
        <f t="shared" ca="1" si="28"/>
        <v>#VALUE!</v>
      </c>
    </row>
    <row r="81" spans="1:20" ht="15" customHeight="1" x14ac:dyDescent="0.25">
      <c r="A81" s="8" t="s">
        <v>107</v>
      </c>
      <c r="B81" s="8">
        <v>15</v>
      </c>
      <c r="C81" s="4">
        <v>15</v>
      </c>
      <c r="D81" s="4">
        <v>0</v>
      </c>
      <c r="E81" s="4">
        <v>0</v>
      </c>
      <c r="F81" s="4">
        <f>C81-D81-E81</f>
        <v>15</v>
      </c>
      <c r="G81" s="4">
        <f t="shared" si="30"/>
        <v>45</v>
      </c>
      <c r="H81" s="4">
        <f t="shared" si="31"/>
        <v>60</v>
      </c>
      <c r="I81" s="4">
        <v>2</v>
      </c>
      <c r="J81" s="4" t="s">
        <v>18</v>
      </c>
      <c r="K81" s="73">
        <f t="shared" si="25"/>
        <v>15</v>
      </c>
      <c r="L81" s="73">
        <f t="shared" si="26"/>
        <v>0</v>
      </c>
      <c r="M81" s="73">
        <f t="shared" si="27"/>
        <v>15</v>
      </c>
      <c r="N81" s="7" t="str">
        <f>IF(O81=""," ",VLOOKUP(O81,'[8]2012 личен състав ОТД'!$A:$AO,2,FALSE))</f>
        <v xml:space="preserve"> </v>
      </c>
      <c r="O81" s="3"/>
      <c r="P81" s="7" t="str">
        <f>IF(O81=""," ",VLOOKUP(O81,'[8]2012 личен състав ОТД'!$A:$AO,13,FALSE))</f>
        <v xml:space="preserve"> </v>
      </c>
      <c r="Q81" s="7" t="str">
        <f>IF(O81=""," ",VLOOKUP(O81,'[8]2012 личен състав ОТД'!$A:$AO,12,FALSE))</f>
        <v xml:space="preserve"> </v>
      </c>
      <c r="R81" s="7" t="str">
        <f>IF(A81=""," ",VLOOKUP(A81,'Профилиращ лист'!A:B,2,FALSE))</f>
        <v>ПРА</v>
      </c>
      <c r="T81" s="7" t="e">
        <f t="shared" ca="1" si="28"/>
        <v>#VALUE!</v>
      </c>
    </row>
    <row r="82" spans="1:20" ht="15" customHeight="1" x14ac:dyDescent="0.25">
      <c r="B82" s="9">
        <f>SUM(B73:B81)</f>
        <v>285</v>
      </c>
      <c r="C82" s="9">
        <f>SUM(C73:C81)</f>
        <v>300</v>
      </c>
      <c r="D82" s="9">
        <f t="shared" ref="D82:I82" si="32">SUM(D73:D81)</f>
        <v>180</v>
      </c>
      <c r="E82" s="9">
        <f t="shared" si="32"/>
        <v>90</v>
      </c>
      <c r="F82" s="9">
        <f t="shared" si="32"/>
        <v>45</v>
      </c>
      <c r="G82" s="9">
        <f t="shared" si="32"/>
        <v>600</v>
      </c>
      <c r="H82" s="9">
        <f t="shared" si="32"/>
        <v>900</v>
      </c>
      <c r="I82" s="9">
        <f t="shared" si="32"/>
        <v>30</v>
      </c>
      <c r="J82" s="6"/>
      <c r="K82" s="73">
        <f t="shared" si="25"/>
        <v>0</v>
      </c>
      <c r="L82" s="73">
        <f t="shared" si="26"/>
        <v>0</v>
      </c>
      <c r="M82" s="73">
        <f t="shared" si="27"/>
        <v>0</v>
      </c>
      <c r="N82" s="7" t="str">
        <f>IF(O82=""," ",VLOOKUP(O82,'[8]2012 личен състав ОТД'!$A:$AO,2,FALSE))</f>
        <v xml:space="preserve"> </v>
      </c>
      <c r="O82" s="3"/>
      <c r="P82" s="7" t="str">
        <f>IF(O82=""," ",VLOOKUP(O82,'[8]2012 личен състав ОТД'!$A:$AO,13,FALSE))</f>
        <v xml:space="preserve"> </v>
      </c>
      <c r="Q82" s="7" t="str">
        <f>IF(O82=""," ",VLOOKUP(O82,'[8]2012 личен състав ОТД'!$A:$AO,12,FALSE))</f>
        <v xml:space="preserve"> </v>
      </c>
      <c r="R82" s="7" t="str">
        <f>IF(A82=""," ",VLOOKUP(A82,'Профилиращ лист'!A:B,2,FALSE))</f>
        <v xml:space="preserve"> </v>
      </c>
      <c r="T82" s="7" t="e">
        <f t="shared" ca="1" si="28"/>
        <v>#VALUE!</v>
      </c>
    </row>
    <row r="83" spans="1:20" ht="15" customHeight="1" x14ac:dyDescent="0.25">
      <c r="A83" s="1" t="s">
        <v>68</v>
      </c>
      <c r="B83" s="4" t="s">
        <v>86</v>
      </c>
      <c r="C83" s="4" t="s">
        <v>86</v>
      </c>
      <c r="D83" s="4" t="s">
        <v>86</v>
      </c>
      <c r="E83" s="4" t="s">
        <v>86</v>
      </c>
      <c r="F83" s="4" t="s">
        <v>86</v>
      </c>
      <c r="G83" s="4" t="s">
        <v>86</v>
      </c>
      <c r="H83" s="4" t="s">
        <v>86</v>
      </c>
      <c r="I83" s="4" t="s">
        <v>86</v>
      </c>
      <c r="J83" s="4" t="s">
        <v>86</v>
      </c>
      <c r="K83" s="73">
        <f t="shared" si="25"/>
        <v>0</v>
      </c>
      <c r="L83" s="73">
        <f t="shared" si="26"/>
        <v>0</v>
      </c>
      <c r="M83" s="73">
        <f t="shared" si="27"/>
        <v>0</v>
      </c>
      <c r="N83" s="7" t="str">
        <f>IF(O83=""," ",VLOOKUP(O83,'[8]2012 личен състав ОТД'!$A:$AO,2,FALSE))</f>
        <v xml:space="preserve"> </v>
      </c>
      <c r="O83" s="3"/>
      <c r="P83" s="7" t="str">
        <f>IF(O83=""," ",VLOOKUP(O83,'[8]2012 личен състав ОТД'!$A:$AO,13,FALSE))</f>
        <v xml:space="preserve"> </v>
      </c>
      <c r="Q83" s="7" t="str">
        <f>IF(O83=""," ",VLOOKUP(O83,'[8]2012 личен състав ОТД'!$A:$AO,12,FALSE))</f>
        <v xml:space="preserve"> </v>
      </c>
      <c r="R83" s="7" t="e">
        <f>IF(A83=""," ",VLOOKUP(A83,'Профилиращ лист'!A:B,2,FALSE))</f>
        <v>#N/A</v>
      </c>
      <c r="T83" s="7" t="e">
        <f t="shared" ca="1" si="28"/>
        <v>#VALUE!</v>
      </c>
    </row>
    <row r="84" spans="1:20" ht="15" customHeight="1" x14ac:dyDescent="0.25">
      <c r="A84" s="8" t="s">
        <v>62</v>
      </c>
      <c r="B84" s="4">
        <v>30</v>
      </c>
      <c r="C84" s="4">
        <v>45</v>
      </c>
      <c r="D84" s="4">
        <v>30</v>
      </c>
      <c r="E84" s="4">
        <v>15</v>
      </c>
      <c r="F84" s="4">
        <v>0</v>
      </c>
      <c r="G84" s="4">
        <f>H84-C84</f>
        <v>45</v>
      </c>
      <c r="H84" s="4">
        <f>I84*30</f>
        <v>90</v>
      </c>
      <c r="I84" s="4">
        <v>3</v>
      </c>
      <c r="J84" s="4" t="s">
        <v>12</v>
      </c>
      <c r="K84" s="73">
        <f t="shared" si="25"/>
        <v>90</v>
      </c>
      <c r="L84" s="73">
        <f t="shared" si="26"/>
        <v>75</v>
      </c>
      <c r="M84" s="73">
        <f t="shared" si="27"/>
        <v>15</v>
      </c>
      <c r="N84" s="7" t="str">
        <f>IF(O84=""," ",VLOOKUP(O84,'[8]2012 личен състав ОТД'!$A:$AO,2,FALSE))</f>
        <v>доц. д-р Татяна Ичевска</v>
      </c>
      <c r="O84" s="3" t="s">
        <v>480</v>
      </c>
      <c r="P84" s="7">
        <f>IF(O84=""," ",VLOOKUP(O84,'[8]2012 личен състав ОТД'!$A:$AO,13,FALSE))</f>
        <v>1970</v>
      </c>
      <c r="Q84" s="7" t="str">
        <f>IF(O84=""," ",VLOOKUP(O84,'[8]2012 личен състав ОТД'!$A:$AO,12,FALSE))</f>
        <v>ОТД</v>
      </c>
      <c r="R84" s="7" t="str">
        <f>IF(A84=""," ",VLOOKUP(A84,'Профилиращ лист'!A:B,2,FALSE))</f>
        <v>СПЕ</v>
      </c>
      <c r="T84" s="7">
        <f t="shared" ca="1" si="28"/>
        <v>43</v>
      </c>
    </row>
    <row r="85" spans="1:20" ht="15" customHeight="1" x14ac:dyDescent="0.25">
      <c r="A85" s="8" t="s">
        <v>108</v>
      </c>
      <c r="B85" s="8">
        <v>60</v>
      </c>
      <c r="C85" s="4">
        <v>60</v>
      </c>
      <c r="D85" s="4">
        <v>30</v>
      </c>
      <c r="E85" s="4">
        <v>30</v>
      </c>
      <c r="F85" s="4">
        <f>C85-D85-E85</f>
        <v>0</v>
      </c>
      <c r="G85" s="4">
        <f t="shared" ref="G85:G90" si="33">H85-C85</f>
        <v>120</v>
      </c>
      <c r="H85" s="4">
        <f t="shared" ref="H85:H90" si="34">I85*30</f>
        <v>180</v>
      </c>
      <c r="I85" s="4">
        <v>6</v>
      </c>
      <c r="J85" s="6" t="s">
        <v>12</v>
      </c>
      <c r="K85" s="73">
        <f t="shared" si="25"/>
        <v>60</v>
      </c>
      <c r="L85" s="73">
        <f t="shared" si="26"/>
        <v>30</v>
      </c>
      <c r="M85" s="73">
        <f t="shared" si="27"/>
        <v>30</v>
      </c>
      <c r="N85" s="7" t="str">
        <f>IF(O85=""," ",VLOOKUP(O85,'[8]2012 личен състав ОТД'!$A:$AO,2,FALSE))</f>
        <v>гл. ас. д-р Симеон Кацаров</v>
      </c>
      <c r="O85" s="3" t="s">
        <v>470</v>
      </c>
      <c r="P85" s="7">
        <f>IF(O85=""," ",VLOOKUP(O85,'[8]2012 личен състав ОТД'!$A:$AO,13,FALSE))</f>
        <v>1968</v>
      </c>
      <c r="Q85" s="7" t="str">
        <f>IF(O85=""," ",VLOOKUP(O85,'[8]2012 личен състав ОТД'!$A:$AO,12,FALSE))</f>
        <v>ОТД</v>
      </c>
      <c r="R85" s="7" t="str">
        <f>IF(A85=""," ",VLOOKUP(A85,'Профилиращ лист'!A:B,2,FALSE))</f>
        <v>СПЕ</v>
      </c>
      <c r="T85" s="7">
        <f t="shared" ca="1" si="28"/>
        <v>45</v>
      </c>
    </row>
    <row r="86" spans="1:20" ht="15" customHeight="1" x14ac:dyDescent="0.25">
      <c r="A86" s="8" t="s">
        <v>109</v>
      </c>
      <c r="B86" s="8">
        <v>30</v>
      </c>
      <c r="C86" s="4">
        <v>30</v>
      </c>
      <c r="D86" s="4">
        <v>15</v>
      </c>
      <c r="E86" s="4">
        <v>15</v>
      </c>
      <c r="F86" s="4">
        <f>C86-D86-E86</f>
        <v>0</v>
      </c>
      <c r="G86" s="4">
        <f t="shared" si="33"/>
        <v>90</v>
      </c>
      <c r="H86" s="4">
        <f t="shared" si="34"/>
        <v>120</v>
      </c>
      <c r="I86" s="4">
        <v>4</v>
      </c>
      <c r="J86" s="6" t="s">
        <v>12</v>
      </c>
      <c r="K86" s="73">
        <f t="shared" si="25"/>
        <v>30</v>
      </c>
      <c r="L86" s="73">
        <f t="shared" si="26"/>
        <v>15</v>
      </c>
      <c r="M86" s="73">
        <f t="shared" si="27"/>
        <v>15</v>
      </c>
      <c r="N86" s="7" t="str">
        <f>IF(O86=""," ",VLOOKUP(O86,'[8]2012 личен състав ОТД'!$A:$AO,2,FALSE))</f>
        <v>доц. д-р Иван Джамбов</v>
      </c>
      <c r="O86" s="3" t="s">
        <v>452</v>
      </c>
      <c r="P86" s="7">
        <f>IF(O86=""," ",VLOOKUP(O86,'[8]2012 личен състав ОТД'!$A:$AO,13,FALSE))</f>
        <v>1949</v>
      </c>
      <c r="Q86" s="7" t="str">
        <f>IF(O86=""," ",VLOOKUP(O86,'[8]2012 личен състав ОТД'!$A:$AO,12,FALSE))</f>
        <v>ОТД</v>
      </c>
      <c r="R86" s="7" t="str">
        <f>IF(A86=""," ",VLOOKUP(A86,'Профилиращ лист'!A:B,2,FALSE))</f>
        <v>ОИД</v>
      </c>
      <c r="T86" s="7">
        <f t="shared" ca="1" si="28"/>
        <v>64</v>
      </c>
    </row>
    <row r="87" spans="1:20" ht="15" customHeight="1" x14ac:dyDescent="0.25">
      <c r="A87" s="8" t="s">
        <v>71</v>
      </c>
      <c r="B87" s="4">
        <v>45</v>
      </c>
      <c r="C87" s="4">
        <v>45</v>
      </c>
      <c r="D87" s="4">
        <v>0</v>
      </c>
      <c r="E87" s="4">
        <v>0</v>
      </c>
      <c r="F87" s="4">
        <v>45</v>
      </c>
      <c r="G87" s="4">
        <f t="shared" si="33"/>
        <v>75</v>
      </c>
      <c r="H87" s="4">
        <f t="shared" si="34"/>
        <v>120</v>
      </c>
      <c r="I87" s="4">
        <v>4</v>
      </c>
      <c r="J87" s="4" t="s">
        <v>12</v>
      </c>
      <c r="K87" s="73">
        <f t="shared" si="25"/>
        <v>45</v>
      </c>
      <c r="L87" s="73">
        <f t="shared" si="26"/>
        <v>0</v>
      </c>
      <c r="M87" s="73">
        <f t="shared" si="27"/>
        <v>45</v>
      </c>
      <c r="N87" s="7" t="str">
        <f>IF(O87=""," ",VLOOKUP(O87,'[8]2012 личен състав ОТД'!$A:$AO,2,FALSE))</f>
        <v xml:space="preserve"> </v>
      </c>
      <c r="O87" s="3"/>
      <c r="P87" s="7" t="str">
        <f>IF(O87=""," ",VLOOKUP(O87,'[8]2012 личен състав ОТД'!$A:$AO,13,FALSE))</f>
        <v xml:space="preserve"> </v>
      </c>
      <c r="Q87" s="7" t="str">
        <f>IF(O87=""," ",VLOOKUP(O87,'[8]2012 личен състав ОТД'!$A:$AO,12,FALSE))</f>
        <v xml:space="preserve"> </v>
      </c>
      <c r="R87" s="7" t="str">
        <f>IF(A87=""," ",VLOOKUP(A87,'Профилиращ лист'!A:B,2,FALSE))</f>
        <v>ПЕД</v>
      </c>
      <c r="T87" s="7" t="e">
        <f t="shared" ca="1" si="28"/>
        <v>#VALUE!</v>
      </c>
    </row>
    <row r="88" spans="1:20" ht="15" customHeight="1" x14ac:dyDescent="0.25">
      <c r="A88" s="8" t="s">
        <v>110</v>
      </c>
      <c r="B88" s="8">
        <v>30</v>
      </c>
      <c r="C88" s="4">
        <v>30</v>
      </c>
      <c r="D88" s="4">
        <v>0</v>
      </c>
      <c r="E88" s="4">
        <v>0</v>
      </c>
      <c r="F88" s="4">
        <f>C88-D88-E88</f>
        <v>30</v>
      </c>
      <c r="G88" s="4">
        <f t="shared" si="33"/>
        <v>60</v>
      </c>
      <c r="H88" s="4">
        <f t="shared" si="34"/>
        <v>90</v>
      </c>
      <c r="I88" s="4">
        <v>3</v>
      </c>
      <c r="J88" s="6" t="s">
        <v>12</v>
      </c>
      <c r="K88" s="73">
        <f t="shared" si="25"/>
        <v>30</v>
      </c>
      <c r="L88" s="73">
        <f t="shared" si="26"/>
        <v>0</v>
      </c>
      <c r="M88" s="73">
        <f t="shared" si="27"/>
        <v>30</v>
      </c>
      <c r="N88" s="7" t="str">
        <f>IF(O88=""," ",VLOOKUP(O88,'[8]2012 личен състав ОТД'!$A:$AO,2,FALSE))</f>
        <v xml:space="preserve"> </v>
      </c>
      <c r="O88" s="3"/>
      <c r="P88" s="7" t="str">
        <f>IF(O88=""," ",VLOOKUP(O88,'[8]2012 личен състав ОТД'!$A:$AO,13,FALSE))</f>
        <v xml:space="preserve"> </v>
      </c>
      <c r="Q88" s="7" t="str">
        <f>IF(O88=""," ",VLOOKUP(O88,'[8]2012 личен състав ОТД'!$A:$AO,12,FALSE))</f>
        <v xml:space="preserve"> </v>
      </c>
      <c r="R88" s="7" t="str">
        <f>IF(A88=""," ",VLOOKUP(A88,'Профилиращ лист'!A:B,2,FALSE))</f>
        <v>ПРА</v>
      </c>
      <c r="T88" s="7" t="e">
        <f t="shared" ca="1" si="28"/>
        <v>#VALUE!</v>
      </c>
    </row>
    <row r="89" spans="1:20" ht="15" customHeight="1" x14ac:dyDescent="0.25">
      <c r="A89" s="8" t="s">
        <v>111</v>
      </c>
      <c r="B89" s="8">
        <v>45</v>
      </c>
      <c r="C89" s="4">
        <v>45</v>
      </c>
      <c r="D89" s="4">
        <v>30</v>
      </c>
      <c r="E89" s="4">
        <v>15</v>
      </c>
      <c r="F89" s="4">
        <f>C89-D89-E89</f>
        <v>0</v>
      </c>
      <c r="G89" s="4">
        <f t="shared" si="33"/>
        <v>75</v>
      </c>
      <c r="H89" s="4">
        <f t="shared" si="34"/>
        <v>120</v>
      </c>
      <c r="I89" s="4">
        <v>4</v>
      </c>
      <c r="J89" s="6" t="s">
        <v>12</v>
      </c>
      <c r="K89" s="73">
        <f t="shared" si="25"/>
        <v>45</v>
      </c>
      <c r="L89" s="73">
        <f t="shared" si="26"/>
        <v>30</v>
      </c>
      <c r="M89" s="73">
        <f t="shared" si="27"/>
        <v>15</v>
      </c>
      <c r="N89" s="7" t="str">
        <f>IF(O89=""," ",VLOOKUP(O89,'[8]2012 личен състав ОТД'!$A:$AO,2,FALSE))</f>
        <v>доц. дфн Вера Маровска</v>
      </c>
      <c r="O89" s="3" t="s">
        <v>473</v>
      </c>
      <c r="P89" s="7">
        <f>IF(O89=""," ",VLOOKUP(O89,'[8]2012 личен състав ОТД'!$A:$AO,13,FALSE))</f>
        <v>1954</v>
      </c>
      <c r="Q89" s="7" t="str">
        <f>IF(O89=""," ",VLOOKUP(O89,'[8]2012 личен състав ОТД'!$A:$AO,12,FALSE))</f>
        <v>ОТД</v>
      </c>
      <c r="R89" s="7" t="str">
        <f>IF(A89=""," ",VLOOKUP(A89,'Профилиращ лист'!A:B,2,FALSE))</f>
        <v>СПЕ</v>
      </c>
      <c r="T89" s="7">
        <f t="shared" ca="1" si="28"/>
        <v>59</v>
      </c>
    </row>
    <row r="90" spans="1:20" ht="15" customHeight="1" x14ac:dyDescent="0.25">
      <c r="A90" s="8" t="s">
        <v>106</v>
      </c>
      <c r="B90" s="8">
        <v>60</v>
      </c>
      <c r="C90" s="4">
        <v>60</v>
      </c>
      <c r="D90" s="4">
        <v>30</v>
      </c>
      <c r="E90" s="4">
        <v>30</v>
      </c>
      <c r="F90" s="4">
        <f>C90-D90-E90</f>
        <v>0</v>
      </c>
      <c r="G90" s="4">
        <f t="shared" si="33"/>
        <v>120</v>
      </c>
      <c r="H90" s="4">
        <f t="shared" si="34"/>
        <v>180</v>
      </c>
      <c r="I90" s="4">
        <v>6</v>
      </c>
      <c r="J90" s="6" t="s">
        <v>12</v>
      </c>
      <c r="K90" s="73">
        <f t="shared" si="25"/>
        <v>105</v>
      </c>
      <c r="L90" s="73">
        <f t="shared" si="26"/>
        <v>60</v>
      </c>
      <c r="M90" s="73">
        <f t="shared" si="27"/>
        <v>45</v>
      </c>
      <c r="N90" s="7" t="str">
        <f>IF(O90=""," ",VLOOKUP(O90,'[8]2012 личен състав ОТД'!$A:$AO,2,FALSE))</f>
        <v>гл. ас. д-р Симеон Кацаров</v>
      </c>
      <c r="O90" s="3" t="s">
        <v>470</v>
      </c>
      <c r="P90" s="7">
        <f>IF(O90=""," ",VLOOKUP(O90,'[8]2012 личен състав ОТД'!$A:$AO,13,FALSE))</f>
        <v>1968</v>
      </c>
      <c r="Q90" s="7" t="str">
        <f>IF(O90=""," ",VLOOKUP(O90,'[8]2012 личен състав ОТД'!$A:$AO,12,FALSE))</f>
        <v>ОТД</v>
      </c>
      <c r="R90" s="7" t="str">
        <f>IF(A90=""," ",VLOOKUP(A90,'Профилиращ лист'!A:B,2,FALSE))</f>
        <v>ОИД</v>
      </c>
      <c r="T90" s="7">
        <f t="shared" ca="1" si="28"/>
        <v>45</v>
      </c>
    </row>
    <row r="91" spans="1:20" ht="14.1" customHeight="1" x14ac:dyDescent="0.25">
      <c r="B91" s="9">
        <f>SUM(B84:B90)</f>
        <v>300</v>
      </c>
      <c r="C91" s="9">
        <f>SUM(C84:C90)</f>
        <v>315</v>
      </c>
      <c r="D91" s="9">
        <f t="shared" ref="D91:I91" si="35">SUM(D84:D90)</f>
        <v>135</v>
      </c>
      <c r="E91" s="9">
        <f t="shared" si="35"/>
        <v>105</v>
      </c>
      <c r="F91" s="9">
        <f t="shared" si="35"/>
        <v>75</v>
      </c>
      <c r="G91" s="9">
        <f t="shared" si="35"/>
        <v>585</v>
      </c>
      <c r="H91" s="9">
        <f t="shared" si="35"/>
        <v>900</v>
      </c>
      <c r="I91" s="9">
        <f t="shared" si="35"/>
        <v>30</v>
      </c>
      <c r="J91" s="6"/>
      <c r="K91" s="73">
        <f t="shared" si="25"/>
        <v>0</v>
      </c>
      <c r="L91" s="73">
        <f t="shared" si="26"/>
        <v>0</v>
      </c>
      <c r="M91" s="73">
        <f t="shared" si="27"/>
        <v>0</v>
      </c>
      <c r="N91" s="7" t="str">
        <f>IF(O91=""," ",VLOOKUP(O91,'[8]2012 личен състав ОТД'!$A:$AO,2,FALSE))</f>
        <v xml:space="preserve"> </v>
      </c>
      <c r="O91" s="3"/>
      <c r="P91" s="7" t="str">
        <f>IF(O91=""," ",VLOOKUP(O91,'[8]2012 личен състав ОТД'!$A:$AO,13,FALSE))</f>
        <v xml:space="preserve"> </v>
      </c>
      <c r="Q91" s="7" t="str">
        <f>IF(O91=""," ",VLOOKUP(O91,'[8]2012 личен състав ОТД'!$A:$AO,12,FALSE))</f>
        <v xml:space="preserve"> </v>
      </c>
      <c r="R91" s="7" t="str">
        <f>IF(A91=""," ",VLOOKUP(A91,'Профилиращ лист'!A:B,2,FALSE))</f>
        <v xml:space="preserve"> </v>
      </c>
      <c r="T91" s="7" t="e">
        <f t="shared" ca="1" si="28"/>
        <v>#VALUE!</v>
      </c>
    </row>
    <row r="92" spans="1:20" ht="14.1" customHeight="1" x14ac:dyDescent="0.25">
      <c r="A92" s="1" t="s">
        <v>75</v>
      </c>
      <c r="B92" s="1"/>
      <c r="J92" s="6"/>
      <c r="K92" s="73">
        <f t="shared" si="25"/>
        <v>0</v>
      </c>
      <c r="L92" s="73">
        <f t="shared" si="26"/>
        <v>0</v>
      </c>
      <c r="M92" s="73">
        <f t="shared" si="27"/>
        <v>0</v>
      </c>
      <c r="N92" s="7" t="str">
        <f>IF(O92=""," ",VLOOKUP(O92,'[8]2012 личен състав ОТД'!$A:$AO,2,FALSE))</f>
        <v xml:space="preserve"> </v>
      </c>
      <c r="O92" s="3"/>
      <c r="P92" s="7" t="str">
        <f>IF(O92=""," ",VLOOKUP(O92,'[8]2012 личен състав ОТД'!$A:$AO,13,FALSE))</f>
        <v xml:space="preserve"> </v>
      </c>
      <c r="Q92" s="7" t="str">
        <f>IF(O92=""," ",VLOOKUP(O92,'[8]2012 личен състав ОТД'!$A:$AO,12,FALSE))</f>
        <v xml:space="preserve"> </v>
      </c>
      <c r="T92" s="7" t="e">
        <f t="shared" ca="1" si="28"/>
        <v>#VALUE!</v>
      </c>
    </row>
    <row r="93" spans="1:20" ht="14.1" customHeight="1" x14ac:dyDescent="0.25">
      <c r="A93" s="8" t="s">
        <v>77</v>
      </c>
      <c r="I93" s="4">
        <v>2</v>
      </c>
      <c r="J93" s="6" t="s">
        <v>12</v>
      </c>
      <c r="K93" s="73">
        <f t="shared" si="25"/>
        <v>0</v>
      </c>
      <c r="L93" s="73">
        <f t="shared" si="26"/>
        <v>0</v>
      </c>
      <c r="M93" s="73">
        <f t="shared" si="27"/>
        <v>0</v>
      </c>
      <c r="N93" s="7" t="str">
        <f>IF(O93=""," ",VLOOKUP(O93,'[8]2012 личен състав ОТД'!$A:$AO,2,FALSE))</f>
        <v xml:space="preserve"> </v>
      </c>
      <c r="O93" s="3"/>
      <c r="P93" s="7" t="str">
        <f>IF(O93=""," ",VLOOKUP(O93,'[8]2012 личен състав ОТД'!$A:$AO,13,FALSE))</f>
        <v xml:space="preserve"> </v>
      </c>
      <c r="Q93" s="7" t="str">
        <f>IF(O93=""," ",VLOOKUP(O93,'[8]2012 личен състав ОТД'!$A:$AO,12,FALSE))</f>
        <v xml:space="preserve"> </v>
      </c>
      <c r="T93" s="7" t="e">
        <f t="shared" ca="1" si="28"/>
        <v>#VALUE!</v>
      </c>
    </row>
    <row r="94" spans="1:20" ht="14.1" customHeight="1" x14ac:dyDescent="0.25">
      <c r="A94" s="8" t="s">
        <v>112</v>
      </c>
      <c r="I94" s="4">
        <v>2</v>
      </c>
      <c r="J94" s="6" t="s">
        <v>12</v>
      </c>
      <c r="K94" s="73">
        <f t="shared" si="25"/>
        <v>0</v>
      </c>
      <c r="L94" s="73">
        <f t="shared" si="26"/>
        <v>0</v>
      </c>
      <c r="M94" s="73">
        <f t="shared" si="27"/>
        <v>0</v>
      </c>
      <c r="N94" s="7" t="str">
        <f>IF(O94=""," ",VLOOKUP(O94,'[8]2012 личен състав ОТД'!$A:$AO,2,FALSE))</f>
        <v xml:space="preserve"> </v>
      </c>
      <c r="O94" s="3"/>
      <c r="P94" s="7" t="str">
        <f>IF(O94=""," ",VLOOKUP(O94,'[8]2012 личен състав ОТД'!$A:$AO,13,FALSE))</f>
        <v xml:space="preserve"> </v>
      </c>
      <c r="Q94" s="7" t="str">
        <f>IF(O94=""," ",VLOOKUP(O94,'[8]2012 личен състав ОТД'!$A:$AO,12,FALSE))</f>
        <v xml:space="preserve"> </v>
      </c>
      <c r="T94" s="7" t="e">
        <f t="shared" ca="1" si="28"/>
        <v>#VALUE!</v>
      </c>
    </row>
    <row r="95" spans="1:20" ht="14.1" customHeight="1" x14ac:dyDescent="0.25">
      <c r="A95" s="8" t="s">
        <v>79</v>
      </c>
      <c r="I95" s="4">
        <v>3</v>
      </c>
      <c r="J95" s="6" t="s">
        <v>12</v>
      </c>
      <c r="K95" s="73">
        <f t="shared" si="25"/>
        <v>0</v>
      </c>
      <c r="L95" s="73">
        <f t="shared" si="26"/>
        <v>0</v>
      </c>
      <c r="M95" s="73">
        <f t="shared" si="27"/>
        <v>0</v>
      </c>
      <c r="N95" s="7" t="str">
        <f>IF(O95=""," ",VLOOKUP(O95,'[8]2012 личен състав ОТД'!$A:$AO,2,FALSE))</f>
        <v xml:space="preserve"> </v>
      </c>
      <c r="O95" s="3"/>
      <c r="P95" s="7" t="str">
        <f>IF(O95=""," ",VLOOKUP(O95,'[8]2012 личен състав ОТД'!$A:$AO,13,FALSE))</f>
        <v xml:space="preserve"> </v>
      </c>
      <c r="Q95" s="7" t="str">
        <f>IF(O95=""," ",VLOOKUP(O95,'[8]2012 личен състав ОТД'!$A:$AO,12,FALSE))</f>
        <v xml:space="preserve"> </v>
      </c>
      <c r="T95" s="7" t="e">
        <f t="shared" ca="1" si="28"/>
        <v>#VALUE!</v>
      </c>
    </row>
    <row r="96" spans="1:20" ht="14.1" customHeight="1" x14ac:dyDescent="0.25">
      <c r="A96" s="8" t="s">
        <v>113</v>
      </c>
      <c r="I96" s="4">
        <v>3</v>
      </c>
      <c r="J96" s="6" t="s">
        <v>12</v>
      </c>
      <c r="K96" s="73">
        <f t="shared" si="25"/>
        <v>0</v>
      </c>
      <c r="L96" s="73">
        <f t="shared" si="26"/>
        <v>0</v>
      </c>
      <c r="M96" s="73">
        <f t="shared" si="27"/>
        <v>0</v>
      </c>
      <c r="N96" s="7" t="str">
        <f>IF(O96=""," ",VLOOKUP(O96,'[8]2012 личен състав ОТД'!$A:$AO,2,FALSE))</f>
        <v xml:space="preserve"> </v>
      </c>
      <c r="O96" s="3"/>
      <c r="P96" s="7" t="str">
        <f>IF(O96=""," ",VLOOKUP(O96,'[8]2012 личен състав ОТД'!$A:$AO,13,FALSE))</f>
        <v xml:space="preserve"> </v>
      </c>
      <c r="Q96" s="7" t="str">
        <f>IF(O96=""," ",VLOOKUP(O96,'[8]2012 личен състав ОТД'!$A:$AO,12,FALSE))</f>
        <v xml:space="preserve"> </v>
      </c>
    </row>
    <row r="97" spans="1:18" ht="14.1" customHeight="1" x14ac:dyDescent="0.25">
      <c r="I97" s="11">
        <f>SUM(I93:I96)</f>
        <v>10</v>
      </c>
      <c r="K97" s="73">
        <f t="shared" si="25"/>
        <v>0</v>
      </c>
      <c r="L97" s="73">
        <f t="shared" si="26"/>
        <v>0</v>
      </c>
      <c r="M97" s="73">
        <f t="shared" si="27"/>
        <v>0</v>
      </c>
      <c r="N97" s="7" t="str">
        <f>IF(O97=""," ",VLOOKUP(O97,'[8]2012 личен състав ОТД'!$A:$AO,2,FALSE))</f>
        <v xml:space="preserve"> </v>
      </c>
      <c r="O97" s="3"/>
      <c r="P97" s="7" t="str">
        <f>IF(O97=""," ",VLOOKUP(O97,'[8]2012 личен състав ОТД'!$A:$AO,13,FALSE))</f>
        <v xml:space="preserve"> </v>
      </c>
      <c r="Q97" s="7" t="str">
        <f>IF(O97=""," ",VLOOKUP(O97,'[8]2012 личен състав ОТД'!$A:$AO,12,FALSE))</f>
        <v xml:space="preserve"> </v>
      </c>
      <c r="R97" s="7" t="str">
        <f>IF(A97=""," ",VLOOKUP(A97,'Профилиращ лист'!A:B,2,FALSE))</f>
        <v xml:space="preserve"> </v>
      </c>
    </row>
    <row r="98" spans="1:18" ht="14.1" customHeight="1" x14ac:dyDescent="0.25">
      <c r="A98" s="12" t="s">
        <v>80</v>
      </c>
      <c r="B98" s="9">
        <f t="shared" ref="B98:H98" si="36">B91+B82+B71+B59+B49+B37+B25+B13</f>
        <v>2730</v>
      </c>
      <c r="C98" s="9">
        <f t="shared" si="36"/>
        <v>2985</v>
      </c>
      <c r="D98" s="9">
        <f t="shared" si="36"/>
        <v>1800</v>
      </c>
      <c r="E98" s="9">
        <f t="shared" si="36"/>
        <v>870</v>
      </c>
      <c r="F98" s="9">
        <f t="shared" si="36"/>
        <v>330</v>
      </c>
      <c r="G98" s="9">
        <f t="shared" si="36"/>
        <v>4215</v>
      </c>
      <c r="H98" s="9">
        <f t="shared" si="36"/>
        <v>7200</v>
      </c>
      <c r="I98" s="11">
        <f>I91+I82+I71+I59+I49+I37+I25+I13+I97</f>
        <v>250</v>
      </c>
      <c r="K98" s="73">
        <f t="shared" si="25"/>
        <v>2985</v>
      </c>
      <c r="L98" s="73">
        <f t="shared" si="26"/>
        <v>1800</v>
      </c>
      <c r="M98" s="73">
        <f t="shared" si="27"/>
        <v>1200</v>
      </c>
      <c r="N98" s="7" t="str">
        <f>IF(O98=""," ",VLOOKUP(O98,'[8]2012 личен състав ОТД'!$A:$AO,2,FALSE))</f>
        <v xml:space="preserve"> </v>
      </c>
      <c r="O98" s="3"/>
      <c r="P98" s="7" t="str">
        <f>IF(O98=""," ",VLOOKUP(O98,'[8]2012 личен състав ОТД'!$A:$AO,13,FALSE))</f>
        <v xml:space="preserve"> </v>
      </c>
      <c r="Q98" s="7" t="str">
        <f>IF(O98=""," ",VLOOKUP(O98,'[8]2012 личен състав ОТД'!$A:$AO,12,FALSE))</f>
        <v xml:space="preserve"> </v>
      </c>
    </row>
    <row r="99" spans="1:18" ht="15" customHeight="1" x14ac:dyDescent="0.25">
      <c r="C99" s="4">
        <f>C98/120</f>
        <v>24.875</v>
      </c>
      <c r="D99" s="4">
        <f t="shared" ref="D99:I99" si="37">D98/120</f>
        <v>15</v>
      </c>
      <c r="E99" s="4">
        <f t="shared" si="37"/>
        <v>7.25</v>
      </c>
      <c r="F99" s="4">
        <f t="shared" si="37"/>
        <v>2.75</v>
      </c>
      <c r="G99" s="4">
        <f t="shared" si="37"/>
        <v>35.125</v>
      </c>
      <c r="H99" s="4">
        <f t="shared" si="37"/>
        <v>60</v>
      </c>
      <c r="I99" s="5">
        <f t="shared" si="37"/>
        <v>2.0833333333333335</v>
      </c>
      <c r="K99" s="73">
        <f t="shared" ref="K99:K108" si="38">SUMIF(A:A,A99,C:C)</f>
        <v>0</v>
      </c>
      <c r="L99" s="73">
        <f t="shared" ref="L99:L108" si="39">SUMIF(A:A,A99,D:D)</f>
        <v>0</v>
      </c>
      <c r="M99" s="73">
        <f t="shared" ref="M99:M108" si="40">SUMIF(A:A,A99,E:E)+SUMIF(A:A,A99,F:F)</f>
        <v>0</v>
      </c>
      <c r="N99" s="7" t="str">
        <f>IF(O99=""," ",VLOOKUP(O99,'[8]2012 личен състав ОТД'!$A:$AO,2,FALSE))</f>
        <v xml:space="preserve"> </v>
      </c>
      <c r="O99" s="3"/>
      <c r="P99" s="7" t="str">
        <f>IF(O99=""," ",VLOOKUP(O99,'[8]2012 личен състав ОТД'!$A:$AO,13,FALSE))</f>
        <v xml:space="preserve"> </v>
      </c>
      <c r="Q99" s="7" t="str">
        <f>IF(O99=""," ",VLOOKUP(O99,'[8]2012 личен състав ОТД'!$A:$AO,12,FALSE))</f>
        <v xml:space="preserve"> </v>
      </c>
      <c r="R99" s="7" t="str">
        <f>IF(A99=""," ",VLOOKUP(A99,'Профилиращ лист'!A:B,2,FALSE))</f>
        <v xml:space="preserve"> </v>
      </c>
    </row>
    <row r="100" spans="1:18" ht="15" customHeight="1" x14ac:dyDescent="0.25">
      <c r="K100" s="73">
        <f t="shared" si="38"/>
        <v>0</v>
      </c>
      <c r="L100" s="73">
        <f t="shared" si="39"/>
        <v>0</v>
      </c>
      <c r="M100" s="73">
        <f t="shared" si="40"/>
        <v>0</v>
      </c>
      <c r="N100" s="7" t="str">
        <f>IF(O100=""," ",VLOOKUP(O100,'[8]2012 личен състав ОТД'!$A:$AO,2,FALSE))</f>
        <v xml:space="preserve"> </v>
      </c>
      <c r="O100" s="3"/>
      <c r="P100" s="7" t="str">
        <f>IF(O100=""," ",VLOOKUP(O100,'[8]2012 личен състав ОТД'!$A:$AO,13,FALSE))</f>
        <v xml:space="preserve"> </v>
      </c>
      <c r="Q100" s="7" t="str">
        <f>IF(O100=""," ",VLOOKUP(O100,'[8]2012 личен състав ОТД'!$A:$AO,12,FALSE))</f>
        <v xml:space="preserve"> </v>
      </c>
      <c r="R100" s="7" t="str">
        <f>IF(A100=""," ",VLOOKUP(A100,'Профилиращ лист'!A:B,2,FALSE))</f>
        <v xml:space="preserve"> </v>
      </c>
    </row>
    <row r="101" spans="1:18" ht="15" customHeight="1" x14ac:dyDescent="0.25">
      <c r="K101" s="73">
        <f t="shared" si="38"/>
        <v>0</v>
      </c>
      <c r="L101" s="73">
        <f t="shared" si="39"/>
        <v>0</v>
      </c>
      <c r="M101" s="73">
        <f t="shared" si="40"/>
        <v>0</v>
      </c>
      <c r="N101" s="7" t="str">
        <f>IF(O101=""," ",VLOOKUP(O101,'[8]2012 личен състав ОТД'!$A:$AO,2,FALSE))</f>
        <v xml:space="preserve"> </v>
      </c>
      <c r="O101" s="3"/>
      <c r="P101" s="7" t="str">
        <f>IF(O101=""," ",VLOOKUP(O101,'[8]2012 личен състав ОТД'!$A:$AO,13,FALSE))</f>
        <v xml:space="preserve"> </v>
      </c>
      <c r="Q101" s="7" t="str">
        <f>IF(O101=""," ",VLOOKUP(O101,'[8]2012 личен състав ОТД'!$A:$AO,12,FALSE))</f>
        <v xml:space="preserve"> </v>
      </c>
      <c r="R101" s="7" t="str">
        <f>IF(A101=""," ",VLOOKUP(A101,'Профилиращ лист'!A:B,2,FALSE))</f>
        <v xml:space="preserve"> </v>
      </c>
    </row>
    <row r="102" spans="1:18" ht="15" customHeight="1" x14ac:dyDescent="0.25">
      <c r="K102" s="73">
        <f t="shared" si="38"/>
        <v>0</v>
      </c>
      <c r="L102" s="73">
        <f t="shared" si="39"/>
        <v>0</v>
      </c>
      <c r="M102" s="73">
        <f t="shared" si="40"/>
        <v>0</v>
      </c>
      <c r="N102" s="7" t="str">
        <f>IF(O102=""," ",VLOOKUP(O102,'[8]2012 личен състав ОТД'!$A:$AO,2,FALSE))</f>
        <v xml:space="preserve"> </v>
      </c>
      <c r="O102" s="3"/>
      <c r="P102" s="7" t="str">
        <f>IF(O102=""," ",VLOOKUP(O102,'[8]2012 личен състав ОТД'!$A:$AO,13,FALSE))</f>
        <v xml:space="preserve"> </v>
      </c>
      <c r="Q102" s="7" t="str">
        <f>IF(O102=""," ",VLOOKUP(O102,'[8]2012 личен състав ОТД'!$A:$AO,12,FALSE))</f>
        <v xml:space="preserve"> </v>
      </c>
      <c r="R102" s="7" t="str">
        <f>IF(A102=""," ",VLOOKUP(A102,'Профилиращ лист'!A:B,2,FALSE))</f>
        <v xml:space="preserve"> </v>
      </c>
    </row>
    <row r="103" spans="1:18" ht="15" customHeight="1" x14ac:dyDescent="0.25">
      <c r="K103" s="73">
        <f t="shared" si="38"/>
        <v>0</v>
      </c>
      <c r="L103" s="73">
        <f t="shared" si="39"/>
        <v>0</v>
      </c>
      <c r="M103" s="73">
        <f t="shared" si="40"/>
        <v>0</v>
      </c>
      <c r="N103" s="7" t="str">
        <f>IF(O103=""," ",VLOOKUP(O103,'[8]2012 личен състав ОТД'!$A:$AO,2,FALSE))</f>
        <v xml:space="preserve"> </v>
      </c>
      <c r="O103" s="3"/>
      <c r="P103" s="7" t="str">
        <f>IF(O103=""," ",VLOOKUP(O103,'[8]2012 личен състав ОТД'!$A:$AO,13,FALSE))</f>
        <v xml:space="preserve"> </v>
      </c>
      <c r="Q103" s="7" t="str">
        <f>IF(O103=""," ",VLOOKUP(O103,'[8]2012 личен състав ОТД'!$A:$AO,12,FALSE))</f>
        <v xml:space="preserve"> </v>
      </c>
      <c r="R103" s="7" t="str">
        <f>IF(A103=""," ",VLOOKUP(A103,'Профилиращ лист'!A:B,2,FALSE))</f>
        <v xml:space="preserve"> </v>
      </c>
    </row>
    <row r="104" spans="1:18" ht="15" customHeight="1" x14ac:dyDescent="0.25">
      <c r="K104" s="73">
        <f t="shared" si="38"/>
        <v>0</v>
      </c>
      <c r="L104" s="73">
        <f t="shared" si="39"/>
        <v>0</v>
      </c>
      <c r="M104" s="73">
        <f t="shared" si="40"/>
        <v>0</v>
      </c>
      <c r="N104" s="7" t="str">
        <f>IF(O104=""," ",VLOOKUP(O104,'[8]2012 личен състав ОТД'!$A:$AO,2,FALSE))</f>
        <v xml:space="preserve"> </v>
      </c>
      <c r="O104" s="3"/>
      <c r="P104" s="7" t="str">
        <f>IF(O104=""," ",VLOOKUP(O104,'[8]2012 личен състав ОТД'!$A:$AO,13,FALSE))</f>
        <v xml:space="preserve"> </v>
      </c>
      <c r="Q104" s="7" t="str">
        <f>IF(O104=""," ",VLOOKUP(O104,'[8]2012 личен състав ОТД'!$A:$AO,12,FALSE))</f>
        <v xml:space="preserve"> </v>
      </c>
      <c r="R104" s="7" t="str">
        <f>IF(A104=""," ",VLOOKUP(A104,'Профилиращ лист'!A:B,2,FALSE))</f>
        <v xml:space="preserve"> </v>
      </c>
    </row>
    <row r="105" spans="1:18" ht="15" customHeight="1" x14ac:dyDescent="0.25">
      <c r="K105" s="73">
        <f t="shared" si="38"/>
        <v>0</v>
      </c>
      <c r="L105" s="73">
        <f t="shared" si="39"/>
        <v>0</v>
      </c>
      <c r="M105" s="73">
        <f t="shared" si="40"/>
        <v>0</v>
      </c>
      <c r="N105" s="7" t="str">
        <f>IF(O105=""," ",VLOOKUP(O105,'[8]2012 личен състав ОТД'!$A:$AO,2,FALSE))</f>
        <v xml:space="preserve"> </v>
      </c>
      <c r="O105" s="3"/>
      <c r="P105" s="7" t="str">
        <f>IF(O105=""," ",VLOOKUP(O105,'[8]2012 личен състав ОТД'!$A:$AO,13,FALSE))</f>
        <v xml:space="preserve"> </v>
      </c>
      <c r="Q105" s="7" t="str">
        <f>IF(O105=""," ",VLOOKUP(O105,'[8]2012 личен състав ОТД'!$A:$AO,12,FALSE))</f>
        <v xml:space="preserve"> </v>
      </c>
      <c r="R105" s="7" t="str">
        <f>IF(A105=""," ",VLOOKUP(A105,'Профилиращ лист'!A:B,2,FALSE))</f>
        <v xml:space="preserve"> </v>
      </c>
    </row>
    <row r="106" spans="1:18" ht="15" customHeight="1" x14ac:dyDescent="0.25">
      <c r="K106" s="73">
        <f t="shared" si="38"/>
        <v>0</v>
      </c>
      <c r="L106" s="73">
        <f t="shared" si="39"/>
        <v>0</v>
      </c>
      <c r="M106" s="73">
        <f t="shared" si="40"/>
        <v>0</v>
      </c>
      <c r="N106" s="7" t="str">
        <f>IF(O106=""," ",VLOOKUP(O106,'[8]2012 личен състав ОТД'!$A:$AO,2,FALSE))</f>
        <v xml:space="preserve"> </v>
      </c>
      <c r="O106" s="3"/>
      <c r="P106" s="7" t="str">
        <f>IF(O106=""," ",VLOOKUP(O106,'[8]2012 личен състав ОТД'!$A:$AO,13,FALSE))</f>
        <v xml:space="preserve"> </v>
      </c>
      <c r="Q106" s="7" t="str">
        <f>IF(O106=""," ",VLOOKUP(O106,'[8]2012 личен състав ОТД'!$A:$AO,12,FALSE))</f>
        <v xml:space="preserve"> </v>
      </c>
      <c r="R106" s="7" t="str">
        <f>IF(A106=""," ",VLOOKUP(A106,'Профилиращ лист'!A:B,2,FALSE))</f>
        <v xml:space="preserve"> </v>
      </c>
    </row>
    <row r="107" spans="1:18" ht="15" customHeight="1" x14ac:dyDescent="0.25">
      <c r="K107" s="73">
        <f t="shared" si="38"/>
        <v>0</v>
      </c>
      <c r="L107" s="73">
        <f t="shared" si="39"/>
        <v>0</v>
      </c>
      <c r="M107" s="73">
        <f t="shared" si="40"/>
        <v>0</v>
      </c>
      <c r="N107" s="7" t="str">
        <f>IF(O107=""," ",VLOOKUP(O107,'[8]2012 личен състав ОТД'!$A:$AO,2,FALSE))</f>
        <v xml:space="preserve"> </v>
      </c>
      <c r="O107" s="3"/>
      <c r="P107" s="7" t="str">
        <f>IF(O107=""," ",VLOOKUP(O107,'[8]2012 личен състав ОТД'!$A:$AO,13,FALSE))</f>
        <v xml:space="preserve"> </v>
      </c>
      <c r="Q107" s="7" t="str">
        <f>IF(O107=""," ",VLOOKUP(O107,'[8]2012 личен състав ОТД'!$A:$AO,12,FALSE))</f>
        <v xml:space="preserve"> </v>
      </c>
      <c r="R107" s="7" t="str">
        <f>IF(A107=""," ",VLOOKUP(A107,'Профилиращ лист'!A:B,2,FALSE))</f>
        <v xml:space="preserve"> </v>
      </c>
    </row>
    <row r="108" spans="1:18" ht="15" customHeight="1" x14ac:dyDescent="0.25">
      <c r="K108" s="73">
        <f t="shared" si="38"/>
        <v>0</v>
      </c>
      <c r="L108" s="73">
        <f t="shared" si="39"/>
        <v>0</v>
      </c>
      <c r="M108" s="73">
        <f t="shared" si="40"/>
        <v>0</v>
      </c>
      <c r="N108" s="7" t="str">
        <f>IF(O108=""," ",VLOOKUP(O108,'[8]2012 личен състав ОТД'!$A:$AO,2,FALSE))</f>
        <v xml:space="preserve"> </v>
      </c>
      <c r="O108" s="3"/>
      <c r="P108" s="7" t="str">
        <f>IF(O108=""," ",VLOOKUP(O108,'[8]2012 личен състав ОТД'!$A:$AO,13,FALSE))</f>
        <v xml:space="preserve"> </v>
      </c>
      <c r="Q108" s="7" t="str">
        <f>IF(O108=""," ",VLOOKUP(O108,'[8]2012 личен състав ОТД'!$A:$AO,12,FALSE))</f>
        <v xml:space="preserve"> </v>
      </c>
      <c r="R108" s="7" t="str">
        <f>IF(A108=""," ",VLOOKUP(A108,'Профилиращ лист'!A:B,2,FALSE))</f>
        <v xml:space="preserve"> </v>
      </c>
    </row>
  </sheetData>
  <autoFilter ref="A1:R108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2" fitToHeight="2" orientation="portrait" r:id="rId1"/>
  <headerFooter alignWithMargins="0">
    <oddHeader>&amp;LРедовно обучение,
бакалавърска степен&amp;C&amp;14УЧЕБЕН ПЛАН: &amp;A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E117"/>
  <sheetViews>
    <sheetView topLeftCell="B1" zoomScale="90" zoomScaleNormal="90" zoomScaleSheetLayoutView="140" workbookViewId="0">
      <selection activeCell="T1" sqref="T1:T97"/>
    </sheetView>
  </sheetViews>
  <sheetFormatPr defaultRowHeight="15" customHeight="1" x14ac:dyDescent="0.25"/>
  <cols>
    <col min="1" max="1" width="59" style="51" customWidth="1"/>
    <col min="2" max="2" width="3.7109375" style="52" customWidth="1"/>
    <col min="3" max="8" width="4.7109375" style="54" customWidth="1"/>
    <col min="9" max="9" width="3.7109375" style="55" customWidth="1"/>
    <col min="10" max="10" width="7.5703125" style="56" customWidth="1"/>
    <col min="11" max="13" width="5.85546875" style="74" customWidth="1"/>
    <col min="14" max="14" width="30.140625" style="49" customWidth="1"/>
    <col min="15" max="15" width="13.28515625" style="49" customWidth="1"/>
    <col min="16" max="17" width="10.7109375" style="49" customWidth="1"/>
    <col min="18" max="18" width="7.5703125" customWidth="1"/>
    <col min="19" max="20" width="14" customWidth="1"/>
    <col min="21" max="21" width="11.85546875" customWidth="1"/>
    <col min="22" max="16384" width="9.140625" style="49"/>
  </cols>
  <sheetData>
    <row r="1" spans="1:31" s="48" customFormat="1" ht="15.95" customHeight="1" x14ac:dyDescent="0.25">
      <c r="A1" s="1" t="s">
        <v>81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" t="s">
        <v>578</v>
      </c>
      <c r="T1" s="1" t="s">
        <v>629</v>
      </c>
      <c r="U1" s="111" t="s">
        <v>577</v>
      </c>
      <c r="V1" s="48" t="s">
        <v>255</v>
      </c>
      <c r="W1" s="48" t="s">
        <v>265</v>
      </c>
      <c r="X1" s="48" t="s">
        <v>253</v>
      </c>
      <c r="Y1" s="48" t="s">
        <v>263</v>
      </c>
      <c r="Z1" s="48" t="s">
        <v>272</v>
      </c>
      <c r="AA1" s="48" t="s">
        <v>406</v>
      </c>
      <c r="AB1" s="48" t="s">
        <v>573</v>
      </c>
      <c r="AC1" s="48" t="s">
        <v>607</v>
      </c>
      <c r="AD1" s="49" t="s">
        <v>575</v>
      </c>
      <c r="AE1" s="49" t="s">
        <v>576</v>
      </c>
    </row>
    <row r="2" spans="1:31" ht="15.95" customHeight="1" x14ac:dyDescent="0.25">
      <c r="A2" s="1" t="s">
        <v>10</v>
      </c>
      <c r="B2" s="1"/>
      <c r="C2" s="4"/>
      <c r="D2" s="4"/>
      <c r="E2" s="4"/>
      <c r="F2" s="4"/>
      <c r="G2" s="4"/>
      <c r="H2" s="4"/>
      <c r="I2" s="13"/>
      <c r="J2" s="6">
        <v>1</v>
      </c>
      <c r="L2" s="73">
        <v>1</v>
      </c>
      <c r="O2" s="3">
        <f ca="1">YEAR(TODAY())</f>
        <v>2013</v>
      </c>
      <c r="P2" s="3">
        <f ca="1">O2-(AVERAGEIFS(P:P,L:L,"&gt;0",Q:Q,"ОТД"))</f>
        <v>55.023809523809632</v>
      </c>
      <c r="T2">
        <f ca="1">YEAR(TODAY())</f>
        <v>2013</v>
      </c>
      <c r="V2" s="49">
        <f ca="1">COUNTIFS(P:P,"&gt;1900",R:R,"СПЕ")</f>
        <v>18</v>
      </c>
      <c r="W2" s="49">
        <f ca="1">COUNTIFS(P:P,"&gt;1900",R:R,"ОФД")</f>
        <v>6</v>
      </c>
      <c r="X2" s="49">
        <f ca="1">COUNTIFS(P:P,"&gt;1900",R:R,"ПЕД")</f>
        <v>7</v>
      </c>
      <c r="Y2" s="49">
        <f>COUNTIF(R:R,"ПРА")</f>
        <v>3</v>
      </c>
      <c r="Z2" s="49">
        <f>COUNTIF(R:R,"ИЗБ")</f>
        <v>3</v>
      </c>
      <c r="AA2" s="49">
        <f>COUNTIF(R:R,"ФД")</f>
        <v>4</v>
      </c>
      <c r="AB2" s="49">
        <f ca="1">SUBTOTAL(9,V2:AA2)</f>
        <v>41</v>
      </c>
      <c r="AC2" s="49">
        <f ca="1">V2/AB2</f>
        <v>0.43902439024390244</v>
      </c>
      <c r="AD2" s="49">
        <f>(COUNTIFS(N:N,"проф.*",Q:Q,"ОТД")+COUNTIFS(N:N,"доц.*",Q:Q,"ОТД"))/COUNTIF(Q:Q,"ОТД")</f>
        <v>0.69047619047619047</v>
      </c>
      <c r="AE2" s="49">
        <f ca="1">COUNTIF(S:S,"У")/V2</f>
        <v>0</v>
      </c>
    </row>
    <row r="3" spans="1:31" ht="15.95" customHeight="1" x14ac:dyDescent="0.25">
      <c r="A3" s="8" t="s">
        <v>82</v>
      </c>
      <c r="B3" s="8">
        <v>60</v>
      </c>
      <c r="C3" s="50">
        <f>'Български език и история'!C3/2</f>
        <v>30</v>
      </c>
      <c r="D3" s="4">
        <v>30</v>
      </c>
      <c r="E3" s="4">
        <v>0</v>
      </c>
      <c r="F3" s="50">
        <f>C3-D3-E3</f>
        <v>0</v>
      </c>
      <c r="G3" s="50">
        <f>H3-C3</f>
        <v>90</v>
      </c>
      <c r="H3" s="4">
        <v>120</v>
      </c>
      <c r="I3" s="4">
        <v>4</v>
      </c>
      <c r="J3" s="4" t="s">
        <v>14</v>
      </c>
      <c r="K3" s="74">
        <f>SUMIF(A:A,A3,C:C)</f>
        <v>55</v>
      </c>
      <c r="L3" s="73">
        <f>SUMIF(A:A,A3,D:D)</f>
        <v>55</v>
      </c>
      <c r="M3" s="74">
        <f>SUMIF(A:A,A3,E:E)+SUMIF(A:A,A3,F:F)</f>
        <v>0</v>
      </c>
      <c r="N3" s="49" t="str">
        <f>IF(O3=""," ",VLOOKUP(O3,'[8]2012 личен състав ОТД'!$A:$AO,2,FALSE))</f>
        <v>доц. д-р Желязка Райкова</v>
      </c>
      <c r="O3" s="48" t="str">
        <f>IF(A3=""," ",VLOOKUP(A3,'Български език и история'!A:O,15,FALSE))</f>
        <v>райкова</v>
      </c>
      <c r="P3" s="49">
        <f>IF(O3=""," ",VLOOKUP(O3,'[8]2012 личен състав ОТД'!$A:$AO,13,FALSE))</f>
        <v>1967</v>
      </c>
      <c r="Q3" s="49" t="str">
        <f>IF(O3=""," ",VLOOKUP(O3,'[8]2012 личен състав ОТД'!$A:$AO,12,FALSE))</f>
        <v>ОТД</v>
      </c>
      <c r="R3" t="str">
        <f>IF(A3=""," ",VLOOKUP(A3,'Профилиращ лист'!A:B,2,FALSE))</f>
        <v>ОИД</v>
      </c>
      <c r="T3">
        <f t="shared" ref="T3:T34" ca="1" si="0">Години-P3</f>
        <v>46</v>
      </c>
    </row>
    <row r="4" spans="1:31" ht="15.95" customHeight="1" x14ac:dyDescent="0.25">
      <c r="A4" s="8" t="s">
        <v>17</v>
      </c>
      <c r="B4" s="8">
        <v>30</v>
      </c>
      <c r="C4" s="50">
        <f>'Български език и история'!C4/2</f>
        <v>15</v>
      </c>
      <c r="D4" s="4">
        <v>0</v>
      </c>
      <c r="E4" s="4">
        <v>15</v>
      </c>
      <c r="F4" s="50">
        <f t="shared" ref="F4:F12" si="1">C4-D4-E4</f>
        <v>0</v>
      </c>
      <c r="G4" s="50">
        <f t="shared" ref="G4:G12" si="2">H4-C4</f>
        <v>45</v>
      </c>
      <c r="H4" s="4">
        <v>60</v>
      </c>
      <c r="I4" s="4">
        <v>2</v>
      </c>
      <c r="J4" s="4" t="s">
        <v>18</v>
      </c>
      <c r="K4" s="74">
        <f t="shared" ref="K4:K67" si="3">SUMIF(A:A,A4,C:C)</f>
        <v>15</v>
      </c>
      <c r="L4" s="73">
        <f t="shared" ref="L4:L67" si="4">SUMIF(A:A,A4,D:D)</f>
        <v>0</v>
      </c>
      <c r="M4" s="74">
        <f t="shared" ref="M4:M67" si="5">SUMIF(A:A,A4,E:E)+SUMIF(A:A,A4,F:F)</f>
        <v>15</v>
      </c>
      <c r="N4" s="49" t="str">
        <f>IF(O4=""," ",VLOOKUP(O4,'[8]2012 личен състав ОТД'!$A:$AO,2,FALSE))</f>
        <v xml:space="preserve">   </v>
      </c>
      <c r="O4" s="48">
        <f>IF(A4=""," ",VLOOKUP(A4,'Български език и история'!A:O,15,FALSE))</f>
        <v>0</v>
      </c>
      <c r="P4" s="49">
        <f>IF(O4=""," ",VLOOKUP(O4,'[8]2012 личен състав ОТД'!$A:$AO,13,FALSE))</f>
        <v>0</v>
      </c>
      <c r="Q4" s="49">
        <f>IF(O4=""," ",VLOOKUP(O4,'[8]2012 личен състав ОТД'!$A:$AO,12,FALSE))</f>
        <v>0</v>
      </c>
      <c r="R4" t="str">
        <f>IF(A4=""," ",VLOOKUP(A4,'Профилиращ лист'!A:B,2,FALSE))</f>
        <v>ИЗБ</v>
      </c>
      <c r="T4">
        <f t="shared" ca="1" si="0"/>
        <v>2013</v>
      </c>
      <c r="V4" s="49">
        <f>COUNTIF(N:N,"проф.*")</f>
        <v>7</v>
      </c>
      <c r="W4" s="49">
        <f>COUNTIF(N:N,"доц.*")</f>
        <v>26</v>
      </c>
      <c r="X4" s="49">
        <f>COUNTIF(N:N,"*ас. д-р*")</f>
        <v>12</v>
      </c>
      <c r="Y4" s="49">
        <f>COUNTIF(N:N,"гл. ас.*")-X4</f>
        <v>1</v>
      </c>
      <c r="Z4" s="49">
        <f>COUNTIF(N:N,"ас.*")</f>
        <v>0</v>
      </c>
      <c r="AA4" s="49">
        <f>SUM(V4:Z4)</f>
        <v>46</v>
      </c>
    </row>
    <row r="5" spans="1:31" ht="15.95" customHeight="1" x14ac:dyDescent="0.25">
      <c r="A5" s="8" t="s">
        <v>11</v>
      </c>
      <c r="B5" s="4">
        <v>30</v>
      </c>
      <c r="C5" s="50">
        <f>'Български език и история'!C5/2</f>
        <v>15</v>
      </c>
      <c r="D5" s="4">
        <v>15</v>
      </c>
      <c r="E5" s="4">
        <v>0</v>
      </c>
      <c r="F5" s="50">
        <f t="shared" si="1"/>
        <v>0</v>
      </c>
      <c r="G5" s="50">
        <f t="shared" si="2"/>
        <v>75</v>
      </c>
      <c r="H5" s="4">
        <v>90</v>
      </c>
      <c r="I5" s="4">
        <v>3</v>
      </c>
      <c r="J5" s="4" t="s">
        <v>12</v>
      </c>
      <c r="K5" s="74">
        <f t="shared" si="3"/>
        <v>15</v>
      </c>
      <c r="L5" s="73">
        <f t="shared" si="4"/>
        <v>15</v>
      </c>
      <c r="M5" s="74">
        <f t="shared" si="5"/>
        <v>0</v>
      </c>
      <c r="N5" s="49" t="str">
        <f>IF(O5=""," ",VLOOKUP(O5,'[8]2012 личен състав ОТД'!$A:$AO,2,FALSE))</f>
        <v>доц. д-р Красимира Кръстанова</v>
      </c>
      <c r="O5" s="48" t="str">
        <f>IF(A5=""," ",VLOOKUP(A5,'Български език и история'!A:O,15,FALSE))</f>
        <v>кръстанова</v>
      </c>
      <c r="P5" s="49">
        <f>IF(O5=""," ",VLOOKUP(O5,'[8]2012 личен състав ОТД'!$A:$AO,13,FALSE))</f>
        <v>1958</v>
      </c>
      <c r="Q5" s="49" t="str">
        <f>IF(O5=""," ",VLOOKUP(O5,'[8]2012 личен състав ОТД'!$A:$AO,12,FALSE))</f>
        <v>ОТД</v>
      </c>
      <c r="R5" t="str">
        <f>IF(A5=""," ",VLOOKUP(A5,'Профилиращ лист'!A:B,2,FALSE))</f>
        <v>СПЕ</v>
      </c>
      <c r="T5">
        <f t="shared" ca="1" si="0"/>
        <v>55</v>
      </c>
    </row>
    <row r="6" spans="1:31" ht="15.95" customHeight="1" x14ac:dyDescent="0.25">
      <c r="A6" s="8" t="s">
        <v>28</v>
      </c>
      <c r="B6" s="4">
        <v>15</v>
      </c>
      <c r="C6" s="50">
        <v>10</v>
      </c>
      <c r="D6" s="4">
        <v>0</v>
      </c>
      <c r="E6" s="4">
        <v>0</v>
      </c>
      <c r="F6" s="50">
        <v>10</v>
      </c>
      <c r="G6" s="50">
        <f t="shared" si="2"/>
        <v>50</v>
      </c>
      <c r="H6" s="4">
        <v>60</v>
      </c>
      <c r="I6" s="4">
        <v>2</v>
      </c>
      <c r="J6" s="4" t="s">
        <v>18</v>
      </c>
      <c r="K6" s="74">
        <f t="shared" si="3"/>
        <v>10</v>
      </c>
      <c r="L6" s="73">
        <f t="shared" si="4"/>
        <v>0</v>
      </c>
      <c r="M6" s="74">
        <f t="shared" si="5"/>
        <v>10</v>
      </c>
      <c r="N6" s="49" t="str">
        <f>IF(O6=""," ",VLOOKUP(O6,'[8]2012 личен състав ОТД'!$A:$AO,2,FALSE))</f>
        <v xml:space="preserve">   </v>
      </c>
      <c r="O6" s="48">
        <f>IF(A6=""," ",VLOOKUP(A6,'Български език и история'!A:O,15,FALSE))</f>
        <v>0</v>
      </c>
      <c r="P6" s="49">
        <f>IF(O6=""," ",VLOOKUP(O6,'[8]2012 личен състав ОТД'!$A:$AO,13,FALSE))</f>
        <v>0</v>
      </c>
      <c r="Q6" s="49">
        <f>IF(O6=""," ",VLOOKUP(O6,'[8]2012 личен състав ОТД'!$A:$AO,12,FALSE))</f>
        <v>0</v>
      </c>
      <c r="R6" t="str">
        <f>IF(A6=""," ",VLOOKUP(A6,'Профилиращ лист'!A:B,2,FALSE))</f>
        <v>ПЕД</v>
      </c>
      <c r="T6">
        <f t="shared" ca="1" si="0"/>
        <v>2013</v>
      </c>
    </row>
    <row r="7" spans="1:31" ht="15.95" customHeight="1" x14ac:dyDescent="0.25">
      <c r="A7" s="5" t="s">
        <v>83</v>
      </c>
      <c r="B7" s="5">
        <v>30</v>
      </c>
      <c r="C7" s="50">
        <f>'Български език и история'!C7/2</f>
        <v>15</v>
      </c>
      <c r="D7" s="4">
        <v>15</v>
      </c>
      <c r="E7" s="4">
        <v>0</v>
      </c>
      <c r="F7" s="50">
        <f t="shared" si="1"/>
        <v>0</v>
      </c>
      <c r="G7" s="50">
        <f t="shared" si="2"/>
        <v>45</v>
      </c>
      <c r="H7" s="4">
        <f>I7*30</f>
        <v>60</v>
      </c>
      <c r="I7" s="4">
        <v>2</v>
      </c>
      <c r="J7" s="6" t="s">
        <v>12</v>
      </c>
      <c r="K7" s="74">
        <f t="shared" si="3"/>
        <v>15</v>
      </c>
      <c r="L7" s="73">
        <f t="shared" si="4"/>
        <v>15</v>
      </c>
      <c r="M7" s="74">
        <f t="shared" si="5"/>
        <v>0</v>
      </c>
      <c r="N7" s="49" t="str">
        <f>IF(O7=""," ",VLOOKUP(O7,'[8]2012 личен състав ОТД'!$A:$AO,2,FALSE))</f>
        <v>гл. ас. д-р Аделина Странджева</v>
      </c>
      <c r="O7" s="48" t="str">
        <f>IF(A7=""," ",VLOOKUP(A7,'Български език и история'!A:O,15,FALSE))</f>
        <v>странджева</v>
      </c>
      <c r="P7" s="49">
        <f>IF(O7=""," ",VLOOKUP(O7,'[8]2012 личен състав ОТД'!$A:$AO,13,FALSE))</f>
        <v>1960</v>
      </c>
      <c r="Q7" s="49" t="str">
        <f>IF(O7=""," ",VLOOKUP(O7,'[8]2012 личен състав ОТД'!$A:$AO,12,FALSE))</f>
        <v>ОТД</v>
      </c>
      <c r="R7" t="str">
        <f>IF(A7=""," ",VLOOKUP(A7,'Профилиращ лист'!A:B,2,FALSE))</f>
        <v>ИЗБ</v>
      </c>
      <c r="T7">
        <f t="shared" ca="1" si="0"/>
        <v>53</v>
      </c>
    </row>
    <row r="8" spans="1:31" ht="15.95" customHeight="1" x14ac:dyDescent="0.25">
      <c r="A8" s="8" t="s">
        <v>84</v>
      </c>
      <c r="B8" s="8">
        <v>45</v>
      </c>
      <c r="C8" s="50">
        <v>25</v>
      </c>
      <c r="D8" s="4">
        <v>25</v>
      </c>
      <c r="E8" s="4">
        <v>0</v>
      </c>
      <c r="F8" s="50">
        <f t="shared" si="1"/>
        <v>0</v>
      </c>
      <c r="G8" s="50">
        <f t="shared" si="2"/>
        <v>65</v>
      </c>
      <c r="H8" s="4">
        <f>I8*30</f>
        <v>90</v>
      </c>
      <c r="I8" s="4">
        <v>3</v>
      </c>
      <c r="J8" s="4" t="s">
        <v>14</v>
      </c>
      <c r="K8" s="74">
        <f t="shared" si="3"/>
        <v>55</v>
      </c>
      <c r="L8" s="73">
        <f t="shared" si="4"/>
        <v>55</v>
      </c>
      <c r="M8" s="74">
        <f t="shared" si="5"/>
        <v>0</v>
      </c>
      <c r="N8" s="49" t="str">
        <f>IF(O8=""," ",VLOOKUP(O8,'[8]2012 личен състав ОТД'!$A:$AO,2,FALSE))</f>
        <v>доц. д-р Иван Тодоров</v>
      </c>
      <c r="O8" s="48" t="s">
        <v>529</v>
      </c>
      <c r="P8" s="49">
        <f>IF(O8=""," ",VLOOKUP(O8,'[8]2012 личен състав ОТД'!$A:$AO,13,FALSE))</f>
        <v>0</v>
      </c>
      <c r="Q8" s="49" t="str">
        <f>IF(O8=""," ",VLOOKUP(O8,'[8]2012 личен състав ОТД'!$A:$AO,12,FALSE))</f>
        <v>ХОН</v>
      </c>
      <c r="R8" t="str">
        <f>IF(A8=""," ",VLOOKUP(A8,'Профилиращ лист'!A:B,2,FALSE))</f>
        <v>ОИД</v>
      </c>
      <c r="T8">
        <f t="shared" ca="1" si="0"/>
        <v>2013</v>
      </c>
    </row>
    <row r="9" spans="1:31" ht="15.95" customHeight="1" x14ac:dyDescent="0.25">
      <c r="A9" s="8" t="s">
        <v>13</v>
      </c>
      <c r="B9" s="4">
        <v>45</v>
      </c>
      <c r="C9" s="50">
        <v>25</v>
      </c>
      <c r="D9" s="4">
        <v>15</v>
      </c>
      <c r="E9" s="4">
        <v>10</v>
      </c>
      <c r="F9" s="50">
        <f t="shared" si="1"/>
        <v>0</v>
      </c>
      <c r="G9" s="50">
        <f t="shared" si="2"/>
        <v>95</v>
      </c>
      <c r="H9" s="4">
        <v>120</v>
      </c>
      <c r="I9" s="4">
        <v>4</v>
      </c>
      <c r="J9" s="4" t="s">
        <v>14</v>
      </c>
      <c r="K9" s="74">
        <f t="shared" si="3"/>
        <v>50</v>
      </c>
      <c r="L9" s="73">
        <f t="shared" si="4"/>
        <v>30</v>
      </c>
      <c r="M9" s="74">
        <f t="shared" si="5"/>
        <v>20</v>
      </c>
      <c r="N9" s="49" t="str">
        <f>IF(O9=""," ",VLOOKUP(O9,'[8]2012 личен състав ОТД'!$A:$AO,2,FALSE))</f>
        <v xml:space="preserve">   </v>
      </c>
      <c r="O9" s="48">
        <f>IF(A9=""," ",VLOOKUP(A9,'Български език и история'!A:O,15,FALSE))</f>
        <v>0</v>
      </c>
      <c r="P9" s="49">
        <f>IF(O9=""," ",VLOOKUP(O9,'[8]2012 личен състав ОТД'!$A:$AO,13,FALSE))</f>
        <v>0</v>
      </c>
      <c r="Q9" s="49">
        <f>IF(O9=""," ",VLOOKUP(O9,'[8]2012 личен състав ОТД'!$A:$AO,12,FALSE))</f>
        <v>0</v>
      </c>
      <c r="R9" t="str">
        <f>IF(A9=""," ",VLOOKUP(A9,'Профилиращ лист'!A:B,2,FALSE))</f>
        <v>ОФД</v>
      </c>
      <c r="T9">
        <f t="shared" ca="1" si="0"/>
        <v>2013</v>
      </c>
    </row>
    <row r="10" spans="1:31" ht="15.95" customHeight="1" x14ac:dyDescent="0.25">
      <c r="A10" s="8" t="s">
        <v>85</v>
      </c>
      <c r="B10" s="8">
        <v>15</v>
      </c>
      <c r="C10" s="50">
        <v>10</v>
      </c>
      <c r="D10" s="4">
        <v>10</v>
      </c>
      <c r="E10" s="4">
        <v>0</v>
      </c>
      <c r="F10" s="50">
        <v>0</v>
      </c>
      <c r="G10" s="50">
        <f t="shared" si="2"/>
        <v>50</v>
      </c>
      <c r="H10" s="4">
        <f>I10*30</f>
        <v>60</v>
      </c>
      <c r="I10" s="4">
        <v>2</v>
      </c>
      <c r="J10" s="6" t="s">
        <v>12</v>
      </c>
      <c r="K10" s="74">
        <f t="shared" si="3"/>
        <v>10</v>
      </c>
      <c r="L10" s="73">
        <f t="shared" si="4"/>
        <v>10</v>
      </c>
      <c r="M10" s="74">
        <f t="shared" si="5"/>
        <v>0</v>
      </c>
      <c r="N10" s="49" t="str">
        <f>IF(O10=""," ",VLOOKUP(O10,'[8]2012 личен състав ОТД'!$A:$AO,2,FALSE))</f>
        <v>доц. д-р Георги Митрев</v>
      </c>
      <c r="O10" s="48" t="str">
        <f>IF(A10=""," ",VLOOKUP(A10,'Български език и история'!A:O,15,FALSE))</f>
        <v>митрев</v>
      </c>
      <c r="P10" s="49">
        <f>IF(O10=""," ",VLOOKUP(O10,'[8]2012 личен състав ОТД'!$A:$AO,13,FALSE))</f>
        <v>1963</v>
      </c>
      <c r="Q10" s="49" t="str">
        <f>IF(O10=""," ",VLOOKUP(O10,'[8]2012 личен състав ОТД'!$A:$AO,12,FALSE))</f>
        <v>ОТД</v>
      </c>
      <c r="R10" t="str">
        <f>IF(A10=""," ",VLOOKUP(A10,'Профилиращ лист'!A:B,2,FALSE))</f>
        <v>ОИД</v>
      </c>
      <c r="T10">
        <f t="shared" ca="1" si="0"/>
        <v>50</v>
      </c>
    </row>
    <row r="11" spans="1:31" ht="15.95" customHeight="1" x14ac:dyDescent="0.25">
      <c r="A11" s="8" t="s">
        <v>19</v>
      </c>
      <c r="B11" s="4">
        <v>45</v>
      </c>
      <c r="C11" s="50">
        <f>'Български език и история'!C11/2</f>
        <v>30</v>
      </c>
      <c r="D11" s="4">
        <v>30</v>
      </c>
      <c r="E11" s="4">
        <v>0</v>
      </c>
      <c r="F11" s="50">
        <f t="shared" si="1"/>
        <v>0</v>
      </c>
      <c r="G11" s="50">
        <f t="shared" si="2"/>
        <v>90</v>
      </c>
      <c r="H11" s="4">
        <v>120</v>
      </c>
      <c r="I11" s="4">
        <v>4</v>
      </c>
      <c r="J11" s="4" t="s">
        <v>12</v>
      </c>
      <c r="K11" s="74">
        <f t="shared" si="3"/>
        <v>30</v>
      </c>
      <c r="L11" s="73">
        <f t="shared" si="4"/>
        <v>30</v>
      </c>
      <c r="M11" s="74">
        <f t="shared" si="5"/>
        <v>0</v>
      </c>
      <c r="N11" s="49" t="str">
        <f>IF(O11=""," ",VLOOKUP(O11,'[8]2012 личен състав ОТД'!$A:$AO,2,FALSE))</f>
        <v>проф. д-р Запрян Козлуджов</v>
      </c>
      <c r="O11" s="48" t="str">
        <f>IF(A11=""," ",VLOOKUP(A11,'Български език и история'!A:O,15,FALSE))</f>
        <v>козлуджов</v>
      </c>
      <c r="P11" s="49">
        <f>IF(O11=""," ",VLOOKUP(O11,'[8]2012 личен състав ОТД'!$A:$AO,13,FALSE))</f>
        <v>1959</v>
      </c>
      <c r="Q11" s="49" t="str">
        <f>IF(O11=""," ",VLOOKUP(O11,'[8]2012 личен състав ОТД'!$A:$AO,12,FALSE))</f>
        <v>ОТД</v>
      </c>
      <c r="R11" t="str">
        <f>IF(A11=""," ",VLOOKUP(A11,'Профилиращ лист'!A:B,2,FALSE))</f>
        <v>ОФД</v>
      </c>
      <c r="T11">
        <f t="shared" ca="1" si="0"/>
        <v>54</v>
      </c>
    </row>
    <row r="12" spans="1:31" ht="15.95" customHeight="1" x14ac:dyDescent="0.25">
      <c r="A12" s="8" t="s">
        <v>20</v>
      </c>
      <c r="B12" s="4">
        <v>45</v>
      </c>
      <c r="C12" s="50">
        <f>'Български език и история'!C12/2</f>
        <v>30</v>
      </c>
      <c r="D12" s="4">
        <v>30</v>
      </c>
      <c r="E12" s="4">
        <v>0</v>
      </c>
      <c r="F12" s="50">
        <f t="shared" si="1"/>
        <v>0</v>
      </c>
      <c r="G12" s="50">
        <f t="shared" si="2"/>
        <v>90</v>
      </c>
      <c r="H12" s="4">
        <v>120</v>
      </c>
      <c r="I12" s="4">
        <v>4</v>
      </c>
      <c r="J12" s="4" t="s">
        <v>12</v>
      </c>
      <c r="K12" s="74">
        <f t="shared" si="3"/>
        <v>30</v>
      </c>
      <c r="L12" s="73">
        <f t="shared" si="4"/>
        <v>30</v>
      </c>
      <c r="M12" s="74">
        <f t="shared" si="5"/>
        <v>0</v>
      </c>
      <c r="N12" s="49" t="str">
        <f>IF(O12=""," ",VLOOKUP(O12,'[8]2012 личен състав ОТД'!$A:$AO,2,FALSE))</f>
        <v>доц. д-р Иван Чобанов</v>
      </c>
      <c r="O12" s="48" t="str">
        <f>IF(A12=""," ",VLOOKUP(A12,'Български език и история'!A:O,15,FALSE))</f>
        <v>чобанов</v>
      </c>
      <c r="P12" s="49">
        <f>IF(O12=""," ",VLOOKUP(O12,'[8]2012 личен състав ОТД'!$A:$AO,13,FALSE))</f>
        <v>1949</v>
      </c>
      <c r="Q12" s="49" t="str">
        <f>IF(O12=""," ",VLOOKUP(O12,'[8]2012 личен състав ОТД'!$A:$AO,12,FALSE))</f>
        <v>ОТД</v>
      </c>
      <c r="R12" t="str">
        <f>IF(A12=""," ",VLOOKUP(A12,'Профилиращ лист'!A:B,2,FALSE))</f>
        <v>ОФД</v>
      </c>
      <c r="T12">
        <f t="shared" ca="1" si="0"/>
        <v>64</v>
      </c>
    </row>
    <row r="13" spans="1:31" ht="15.95" customHeight="1" x14ac:dyDescent="0.25">
      <c r="A13" s="8"/>
      <c r="B13" s="9">
        <f t="shared" ref="B13:I13" si="6">SUM(B3:B12)</f>
        <v>360</v>
      </c>
      <c r="C13" s="9">
        <f t="shared" si="6"/>
        <v>205</v>
      </c>
      <c r="D13" s="9">
        <f t="shared" si="6"/>
        <v>170</v>
      </c>
      <c r="E13" s="9">
        <f t="shared" si="6"/>
        <v>25</v>
      </c>
      <c r="F13" s="9">
        <f t="shared" si="6"/>
        <v>10</v>
      </c>
      <c r="G13" s="9">
        <f t="shared" si="6"/>
        <v>695</v>
      </c>
      <c r="H13" s="9">
        <f t="shared" si="6"/>
        <v>900</v>
      </c>
      <c r="I13" s="9">
        <f t="shared" si="6"/>
        <v>30</v>
      </c>
      <c r="J13" s="6"/>
      <c r="K13" s="74">
        <f t="shared" si="3"/>
        <v>0</v>
      </c>
      <c r="L13" s="73">
        <f t="shared" si="4"/>
        <v>0</v>
      </c>
      <c r="M13" s="74">
        <f t="shared" si="5"/>
        <v>0</v>
      </c>
      <c r="N13" s="49" t="e">
        <f>IF(O13=""," ",VLOOKUP(O13,'[8]2012 личен състав ОТД'!$A:$AO,2,FALSE))</f>
        <v>#N/A</v>
      </c>
      <c r="O13" s="48" t="str">
        <f>IF(A13=""," ",VLOOKUP(A13,'Български език и история'!A:O,15,FALSE))</f>
        <v xml:space="preserve"> </v>
      </c>
      <c r="P13" s="49" t="e">
        <f>IF(O13=""," ",VLOOKUP(O13,'[8]2012 личен състав ОТД'!$A:$AO,13,FALSE))</f>
        <v>#N/A</v>
      </c>
      <c r="Q13" s="49" t="e">
        <f>IF(O13=""," ",VLOOKUP(O13,'[8]2012 личен състав ОТД'!$A:$AO,12,FALSE))</f>
        <v>#N/A</v>
      </c>
      <c r="R13" t="str">
        <f>IF(A13=""," ",VLOOKUP(A13,'Профилиращ лист'!A:B,2,FALSE))</f>
        <v xml:space="preserve"> </v>
      </c>
      <c r="T13" t="e">
        <f t="shared" ca="1" si="0"/>
        <v>#N/A</v>
      </c>
    </row>
    <row r="14" spans="1:31" ht="15.95" customHeight="1" x14ac:dyDescent="0.25">
      <c r="A14" s="1" t="s">
        <v>22</v>
      </c>
      <c r="B14" s="1"/>
      <c r="C14" s="4"/>
      <c r="D14" s="4"/>
      <c r="E14" s="4"/>
      <c r="F14" s="4"/>
      <c r="G14" s="4"/>
      <c r="H14" s="4"/>
      <c r="I14" s="5"/>
      <c r="J14" s="6"/>
      <c r="K14" s="74">
        <f t="shared" si="3"/>
        <v>0</v>
      </c>
      <c r="L14" s="73">
        <f t="shared" si="4"/>
        <v>0</v>
      </c>
      <c r="M14" s="74">
        <f t="shared" si="5"/>
        <v>0</v>
      </c>
      <c r="N14" s="49" t="str">
        <f>IF(O14=""," ",VLOOKUP(O14,'[8]2012 личен състав ОТД'!$A:$AO,2,FALSE))</f>
        <v xml:space="preserve">   </v>
      </c>
      <c r="O14" s="48">
        <f>IF(A14=""," ",VLOOKUP(A14,'Български език и история'!A:O,15,FALSE))</f>
        <v>0</v>
      </c>
      <c r="P14" s="49">
        <f>IF(O14=""," ",VLOOKUP(O14,'[8]2012 личен състав ОТД'!$A:$AO,13,FALSE))</f>
        <v>0</v>
      </c>
      <c r="Q14" s="49">
        <f>IF(O14=""," ",VLOOKUP(O14,'[8]2012 личен състав ОТД'!$A:$AO,12,FALSE))</f>
        <v>0</v>
      </c>
      <c r="R14" t="e">
        <f>IF(A14=""," ",VLOOKUP(A14,'Профилиращ лист'!A:B,2,FALSE))</f>
        <v>#N/A</v>
      </c>
      <c r="T14">
        <f t="shared" ca="1" si="0"/>
        <v>2013</v>
      </c>
    </row>
    <row r="15" spans="1:31" ht="15.95" customHeight="1" x14ac:dyDescent="0.25">
      <c r="A15" s="8" t="s">
        <v>82</v>
      </c>
      <c r="B15" s="8">
        <v>45</v>
      </c>
      <c r="C15" s="50">
        <v>25</v>
      </c>
      <c r="D15" s="4">
        <v>25</v>
      </c>
      <c r="E15" s="4">
        <v>0</v>
      </c>
      <c r="F15" s="50">
        <f t="shared" ref="F15:F22" si="7">C15-D15-E15</f>
        <v>0</v>
      </c>
      <c r="G15" s="50">
        <f t="shared" ref="G15:G23" si="8">H15-C15</f>
        <v>35</v>
      </c>
      <c r="H15" s="4">
        <v>60</v>
      </c>
      <c r="I15" s="4">
        <v>2</v>
      </c>
      <c r="J15" s="6" t="s">
        <v>12</v>
      </c>
      <c r="K15" s="74">
        <f t="shared" si="3"/>
        <v>55</v>
      </c>
      <c r="L15" s="73">
        <f t="shared" si="4"/>
        <v>55</v>
      </c>
      <c r="M15" s="74">
        <f t="shared" si="5"/>
        <v>0</v>
      </c>
      <c r="N15" s="49" t="str">
        <f>IF(O15=""," ",VLOOKUP(O15,'[8]2012 личен състав ОТД'!$A:$AO,2,FALSE))</f>
        <v>доц. д-р Иван Джамбов</v>
      </c>
      <c r="O15" s="48" t="s">
        <v>452</v>
      </c>
      <c r="P15" s="49">
        <f>IF(O15=""," ",VLOOKUP(O15,'[8]2012 личен състав ОТД'!$A:$AO,13,FALSE))</f>
        <v>1949</v>
      </c>
      <c r="Q15" s="49" t="str">
        <f>IF(O15=""," ",VLOOKUP(O15,'[8]2012 личен състав ОТД'!$A:$AO,12,FALSE))</f>
        <v>ОТД</v>
      </c>
      <c r="R15" t="str">
        <f>IF(A15=""," ",VLOOKUP(A15,'Профилиращ лист'!A:B,2,FALSE))</f>
        <v>ОИД</v>
      </c>
      <c r="T15">
        <f t="shared" ca="1" si="0"/>
        <v>64</v>
      </c>
    </row>
    <row r="16" spans="1:31" ht="15.95" customHeight="1" x14ac:dyDescent="0.25">
      <c r="A16" s="8" t="s">
        <v>23</v>
      </c>
      <c r="B16" s="4">
        <v>45</v>
      </c>
      <c r="C16" s="50">
        <f>'Български език и история'!C16/2</f>
        <v>30</v>
      </c>
      <c r="D16" s="4">
        <v>30</v>
      </c>
      <c r="E16" s="4">
        <v>0</v>
      </c>
      <c r="F16" s="50">
        <f t="shared" si="7"/>
        <v>0</v>
      </c>
      <c r="G16" s="50">
        <f t="shared" si="8"/>
        <v>120</v>
      </c>
      <c r="H16" s="4">
        <v>150</v>
      </c>
      <c r="I16" s="4">
        <v>5</v>
      </c>
      <c r="J16" s="4" t="s">
        <v>12</v>
      </c>
      <c r="K16" s="74">
        <f t="shared" si="3"/>
        <v>30</v>
      </c>
      <c r="L16" s="73">
        <f t="shared" si="4"/>
        <v>30</v>
      </c>
      <c r="M16" s="74">
        <f t="shared" si="5"/>
        <v>0</v>
      </c>
      <c r="N16" s="49" t="str">
        <f>IF(O16=""," ",VLOOKUP(O16,'[8]2012 личен състав ОТД'!$A:$AO,2,FALSE))</f>
        <v>доц. д-р Мария Йовчева</v>
      </c>
      <c r="O16" s="48" t="str">
        <f>IF(A16=""," ",VLOOKUP(A16,'Български език и история'!A:O,15,FALSE))</f>
        <v>йовчева</v>
      </c>
      <c r="P16" s="49">
        <f>IF(O16=""," ",VLOOKUP(O16,'[8]2012 личен състав ОТД'!$A:$AO,13,FALSE))</f>
        <v>1959</v>
      </c>
      <c r="Q16" s="49" t="str">
        <f>IF(O16=""," ",VLOOKUP(O16,'[8]2012 личен състав ОТД'!$A:$AO,12,FALSE))</f>
        <v>ОТД</v>
      </c>
      <c r="R16" t="str">
        <f>IF(A16=""," ",VLOOKUP(A16,'Профилиращ лист'!A:B,2,FALSE))</f>
        <v>СПЕ</v>
      </c>
      <c r="T16">
        <f t="shared" ca="1" si="0"/>
        <v>54</v>
      </c>
    </row>
    <row r="17" spans="1:20" ht="15.95" customHeight="1" x14ac:dyDescent="0.25">
      <c r="A17" s="8" t="s">
        <v>13</v>
      </c>
      <c r="B17" s="4">
        <v>30</v>
      </c>
      <c r="C17" s="50">
        <v>25</v>
      </c>
      <c r="D17" s="4">
        <v>15</v>
      </c>
      <c r="E17" s="4">
        <v>10</v>
      </c>
      <c r="F17" s="50">
        <f t="shared" si="7"/>
        <v>0</v>
      </c>
      <c r="G17" s="50">
        <f t="shared" si="8"/>
        <v>95</v>
      </c>
      <c r="H17" s="4">
        <v>120</v>
      </c>
      <c r="I17" s="4">
        <v>4</v>
      </c>
      <c r="J17" s="4" t="s">
        <v>12</v>
      </c>
      <c r="K17" s="74">
        <f t="shared" si="3"/>
        <v>50</v>
      </c>
      <c r="L17" s="73">
        <f t="shared" si="4"/>
        <v>30</v>
      </c>
      <c r="M17" s="74">
        <f t="shared" si="5"/>
        <v>20</v>
      </c>
      <c r="N17" s="49" t="str">
        <f>IF(O17=""," ",VLOOKUP(O17,'[8]2012 личен състав ОТД'!$A:$AO,2,FALSE))</f>
        <v>проф. д-р Пеньо Пенев</v>
      </c>
      <c r="O17" s="48" t="s">
        <v>483</v>
      </c>
      <c r="P17" s="49">
        <f>IF(O17=""," ",VLOOKUP(O17,'[8]2012 личен състав ОТД'!$A:$AO,13,FALSE))</f>
        <v>1946</v>
      </c>
      <c r="Q17" s="49" t="str">
        <f>IF(O17=""," ",VLOOKUP(O17,'[8]2012 личен състав ОТД'!$A:$AO,12,FALSE))</f>
        <v>ОТД</v>
      </c>
      <c r="R17" t="str">
        <f>IF(A17=""," ",VLOOKUP(A17,'Профилиращ лист'!A:B,2,FALSE))</f>
        <v>ОФД</v>
      </c>
      <c r="T17">
        <f t="shared" ca="1" si="0"/>
        <v>67</v>
      </c>
    </row>
    <row r="18" spans="1:20" ht="15.95" customHeight="1" x14ac:dyDescent="0.25">
      <c r="A18" s="8" t="s">
        <v>87</v>
      </c>
      <c r="B18" s="8">
        <v>60</v>
      </c>
      <c r="C18" s="50">
        <f>'Български език и история'!C18/2</f>
        <v>30</v>
      </c>
      <c r="D18" s="4">
        <v>30</v>
      </c>
      <c r="E18" s="4">
        <v>0</v>
      </c>
      <c r="F18" s="50">
        <f t="shared" si="7"/>
        <v>0</v>
      </c>
      <c r="G18" s="50">
        <f t="shared" si="8"/>
        <v>90</v>
      </c>
      <c r="H18" s="4">
        <f>I18*30</f>
        <v>120</v>
      </c>
      <c r="I18" s="4">
        <v>4</v>
      </c>
      <c r="J18" s="4" t="s">
        <v>14</v>
      </c>
      <c r="K18" s="74">
        <f t="shared" si="3"/>
        <v>60</v>
      </c>
      <c r="L18" s="73">
        <f t="shared" si="4"/>
        <v>45</v>
      </c>
      <c r="M18" s="74">
        <f t="shared" si="5"/>
        <v>15</v>
      </c>
      <c r="N18" s="49" t="str">
        <f>IF(O18=""," ",VLOOKUP(O18,'[8]2012 личен състав ОТД'!$A:$AO,2,FALSE))</f>
        <v xml:space="preserve">   </v>
      </c>
      <c r="O18" s="48">
        <f>IF(A18=""," ",VLOOKUP(A18,'Български език и история'!A:O,15,FALSE))</f>
        <v>0</v>
      </c>
      <c r="P18" s="49">
        <f>IF(O18=""," ",VLOOKUP(O18,'[8]2012 личен състав ОТД'!$A:$AO,13,FALSE))</f>
        <v>0</v>
      </c>
      <c r="Q18" s="49">
        <f>IF(O18=""," ",VLOOKUP(O18,'[8]2012 личен състав ОТД'!$A:$AO,12,FALSE))</f>
        <v>0</v>
      </c>
      <c r="R18" t="str">
        <f>IF(A18=""," ",VLOOKUP(A18,'Профилиращ лист'!A:B,2,FALSE))</f>
        <v>СПЕ</v>
      </c>
      <c r="T18">
        <f t="shared" ca="1" si="0"/>
        <v>2013</v>
      </c>
    </row>
    <row r="19" spans="1:20" ht="15.95" customHeight="1" x14ac:dyDescent="0.25">
      <c r="A19" s="8" t="s">
        <v>88</v>
      </c>
      <c r="B19" s="8">
        <v>30</v>
      </c>
      <c r="C19" s="50">
        <f>'Български език и история'!C19/2</f>
        <v>15</v>
      </c>
      <c r="D19" s="4">
        <v>15</v>
      </c>
      <c r="E19" s="4">
        <v>0</v>
      </c>
      <c r="F19" s="50">
        <f t="shared" si="7"/>
        <v>0</v>
      </c>
      <c r="G19" s="50">
        <f t="shared" si="8"/>
        <v>75</v>
      </c>
      <c r="H19" s="4">
        <f>I19*30</f>
        <v>90</v>
      </c>
      <c r="I19" s="4">
        <v>3</v>
      </c>
      <c r="J19" s="4" t="s">
        <v>18</v>
      </c>
      <c r="K19" s="74">
        <f t="shared" si="3"/>
        <v>15</v>
      </c>
      <c r="L19" s="73">
        <f t="shared" si="4"/>
        <v>15</v>
      </c>
      <c r="M19" s="74">
        <f t="shared" si="5"/>
        <v>0</v>
      </c>
      <c r="N19" s="49" t="str">
        <f>IF(O19=""," ",VLOOKUP(O19,'[8]2012 личен състав ОТД'!$A:$AO,2,FALSE))</f>
        <v>доц. д-р Станка Козарова</v>
      </c>
      <c r="O19" s="48" t="str">
        <f>IF(A19=""," ",VLOOKUP(A19,'Български език и история'!A:O,15,FALSE))</f>
        <v>козарова</v>
      </c>
      <c r="P19" s="49">
        <f>IF(O19=""," ",VLOOKUP(O19,'[8]2012 личен състав ОТД'!$A:$AO,13,FALSE))</f>
        <v>1959</v>
      </c>
      <c r="Q19" s="49" t="str">
        <f>IF(O19=""," ",VLOOKUP(O19,'[8]2012 личен състав ОТД'!$A:$AO,12,FALSE))</f>
        <v>ОТД</v>
      </c>
      <c r="R19" t="str">
        <f>IF(A19=""," ",VLOOKUP(A19,'Профилиращ лист'!A:B,2,FALSE))</f>
        <v>ИЗБ</v>
      </c>
      <c r="T19">
        <f t="shared" ca="1" si="0"/>
        <v>54</v>
      </c>
    </row>
    <row r="20" spans="1:20" ht="15.95" customHeight="1" x14ac:dyDescent="0.25">
      <c r="A20" s="8" t="s">
        <v>84</v>
      </c>
      <c r="B20" s="8">
        <v>60</v>
      </c>
      <c r="C20" s="50">
        <f>'Български език и история'!C20/2</f>
        <v>30</v>
      </c>
      <c r="D20" s="4">
        <v>30</v>
      </c>
      <c r="E20" s="4">
        <v>0</v>
      </c>
      <c r="F20" s="50">
        <f t="shared" si="7"/>
        <v>0</v>
      </c>
      <c r="G20" s="50">
        <f t="shared" si="8"/>
        <v>90</v>
      </c>
      <c r="H20" s="4">
        <f>I20*30</f>
        <v>120</v>
      </c>
      <c r="I20" s="4">
        <v>4</v>
      </c>
      <c r="J20" s="6" t="s">
        <v>12</v>
      </c>
      <c r="K20" s="74">
        <f t="shared" si="3"/>
        <v>55</v>
      </c>
      <c r="L20" s="73">
        <f t="shared" si="4"/>
        <v>55</v>
      </c>
      <c r="M20" s="74">
        <f t="shared" si="5"/>
        <v>0</v>
      </c>
      <c r="N20" s="49" t="str">
        <f>IF(O20=""," ",VLOOKUP(O20,'[8]2012 личен състав ОТД'!$A:$AO,2,FALSE))</f>
        <v>доц. д-р Иван Тодоров</v>
      </c>
      <c r="O20" s="48" t="s">
        <v>529</v>
      </c>
      <c r="P20" s="49">
        <f>IF(O20=""," ",VLOOKUP(O20,'[8]2012 личен състав ОТД'!$A:$AO,13,FALSE))</f>
        <v>0</v>
      </c>
      <c r="Q20" s="49" t="str">
        <f>IF(O20=""," ",VLOOKUP(O20,'[8]2012 личен състав ОТД'!$A:$AO,12,FALSE))</f>
        <v>ХОН</v>
      </c>
      <c r="R20" t="str">
        <f>IF(A20=""," ",VLOOKUP(A20,'Профилиращ лист'!A:B,2,FALSE))</f>
        <v>ОИД</v>
      </c>
      <c r="T20">
        <f t="shared" ca="1" si="0"/>
        <v>2013</v>
      </c>
    </row>
    <row r="21" spans="1:20" ht="15.95" customHeight="1" x14ac:dyDescent="0.25">
      <c r="A21" s="8" t="s">
        <v>26</v>
      </c>
      <c r="B21" s="4">
        <v>30</v>
      </c>
      <c r="C21" s="50">
        <v>25</v>
      </c>
      <c r="D21" s="4">
        <v>20</v>
      </c>
      <c r="E21" s="4">
        <v>5</v>
      </c>
      <c r="F21" s="50">
        <f t="shared" si="7"/>
        <v>0</v>
      </c>
      <c r="G21" s="50">
        <f t="shared" si="8"/>
        <v>65</v>
      </c>
      <c r="H21" s="4">
        <v>90</v>
      </c>
      <c r="I21" s="4">
        <v>3</v>
      </c>
      <c r="J21" s="4" t="s">
        <v>12</v>
      </c>
      <c r="K21" s="74">
        <f t="shared" si="3"/>
        <v>25</v>
      </c>
      <c r="L21" s="73">
        <f t="shared" si="4"/>
        <v>20</v>
      </c>
      <c r="M21" s="74">
        <f t="shared" si="5"/>
        <v>5</v>
      </c>
      <c r="N21" s="49" t="str">
        <f>IF(O21=""," ",VLOOKUP(O21,'[8]2012 личен състав ОТД'!$A:$AO,2,FALSE))</f>
        <v>доц. д-р Ваня Зидарова</v>
      </c>
      <c r="O21" s="48" t="str">
        <f>IF(A21=""," ",VLOOKUP(A21,'Български език и история'!A:O,15,FALSE))</f>
        <v>зидарова</v>
      </c>
      <c r="P21" s="49">
        <f>IF(O21=""," ",VLOOKUP(O21,'[8]2012 личен състав ОТД'!$A:$AO,13,FALSE))</f>
        <v>1959</v>
      </c>
      <c r="Q21" s="49" t="str">
        <f>IF(O21=""," ",VLOOKUP(O21,'[8]2012 личен състав ОТД'!$A:$AO,12,FALSE))</f>
        <v>ОТД</v>
      </c>
      <c r="R21" t="str">
        <f>IF(A21=""," ",VLOOKUP(A21,'Профилиращ лист'!A:B,2,FALSE))</f>
        <v>ОФД</v>
      </c>
      <c r="T21">
        <f t="shared" ca="1" si="0"/>
        <v>54</v>
      </c>
    </row>
    <row r="22" spans="1:20" ht="15.95" customHeight="1" x14ac:dyDescent="0.25">
      <c r="A22" s="8" t="s">
        <v>21</v>
      </c>
      <c r="B22" s="4">
        <v>15</v>
      </c>
      <c r="C22" s="50">
        <f>'Български език и история'!C22/2</f>
        <v>15</v>
      </c>
      <c r="D22" s="4">
        <v>15</v>
      </c>
      <c r="E22" s="4">
        <v>0</v>
      </c>
      <c r="F22" s="50">
        <f t="shared" si="7"/>
        <v>0</v>
      </c>
      <c r="G22" s="50">
        <f t="shared" si="8"/>
        <v>45</v>
      </c>
      <c r="H22" s="4">
        <v>60</v>
      </c>
      <c r="I22" s="4">
        <v>2</v>
      </c>
      <c r="J22" s="4" t="s">
        <v>18</v>
      </c>
      <c r="K22" s="74">
        <f t="shared" si="3"/>
        <v>15</v>
      </c>
      <c r="L22" s="73">
        <f t="shared" si="4"/>
        <v>15</v>
      </c>
      <c r="M22" s="74">
        <f t="shared" si="5"/>
        <v>0</v>
      </c>
      <c r="N22" s="49" t="str">
        <f>IF(O22=""," ",VLOOKUP(O22,'[8]2012 личен състав ОТД'!$A:$AO,2,FALSE))</f>
        <v xml:space="preserve">   </v>
      </c>
      <c r="O22" s="48">
        <f>IF(A22=""," ",VLOOKUP(A22,'Български език и история'!A:O,15,FALSE))</f>
        <v>0</v>
      </c>
      <c r="P22" s="49">
        <f>IF(O22=""," ",VLOOKUP(O22,'[8]2012 личен състав ОТД'!$A:$AO,13,FALSE))</f>
        <v>0</v>
      </c>
      <c r="Q22" s="49">
        <f>IF(O22=""," ",VLOOKUP(O22,'[8]2012 личен състав ОТД'!$A:$AO,12,FALSE))</f>
        <v>0</v>
      </c>
      <c r="R22" t="str">
        <f>IF(A22=""," ",VLOOKUP(A22,'Профилиращ лист'!A:B,2,FALSE))</f>
        <v>ФД</v>
      </c>
      <c r="T22">
        <f t="shared" ca="1" si="0"/>
        <v>2013</v>
      </c>
    </row>
    <row r="23" spans="1:20" ht="15.95" customHeight="1" x14ac:dyDescent="0.25">
      <c r="A23" s="8" t="s">
        <v>90</v>
      </c>
      <c r="B23" s="8">
        <v>15</v>
      </c>
      <c r="C23" s="50">
        <v>10</v>
      </c>
      <c r="D23" s="4">
        <v>10</v>
      </c>
      <c r="E23" s="4">
        <v>0</v>
      </c>
      <c r="F23" s="50">
        <v>0</v>
      </c>
      <c r="G23" s="50">
        <f t="shared" si="8"/>
        <v>80</v>
      </c>
      <c r="H23" s="4">
        <f>I23*30</f>
        <v>90</v>
      </c>
      <c r="I23" s="4">
        <v>3</v>
      </c>
      <c r="J23" s="6" t="s">
        <v>12</v>
      </c>
      <c r="K23" s="74">
        <f t="shared" si="3"/>
        <v>10</v>
      </c>
      <c r="L23" s="73">
        <f t="shared" si="4"/>
        <v>10</v>
      </c>
      <c r="M23" s="74">
        <f t="shared" si="5"/>
        <v>0</v>
      </c>
      <c r="N23" s="49" t="str">
        <f>IF(O23=""," ",VLOOKUP(O23,'[8]2012 личен състав ОТД'!$A:$AO,2,FALSE))</f>
        <v>доц. д-р Георги Митрев</v>
      </c>
      <c r="O23" s="48" t="str">
        <f>IF(A23=""," ",VLOOKUP(A23,'Български език и история'!A:O,15,FALSE))</f>
        <v>митрев</v>
      </c>
      <c r="P23" s="49">
        <f>IF(O23=""," ",VLOOKUP(O23,'[8]2012 личен състав ОТД'!$A:$AO,13,FALSE))</f>
        <v>1963</v>
      </c>
      <c r="Q23" s="49" t="str">
        <f>IF(O23=""," ",VLOOKUP(O23,'[8]2012 личен състав ОТД'!$A:$AO,12,FALSE))</f>
        <v>ОТД</v>
      </c>
      <c r="R23" t="str">
        <f>IF(A23=""," ",VLOOKUP(A23,'Профилиращ лист'!A:B,2,FALSE))</f>
        <v>ОИД</v>
      </c>
      <c r="T23">
        <f t="shared" ca="1" si="0"/>
        <v>50</v>
      </c>
    </row>
    <row r="24" spans="1:20" ht="15.95" customHeight="1" x14ac:dyDescent="0.25">
      <c r="A24" s="8"/>
      <c r="B24" s="9">
        <f t="shared" ref="B24:I24" si="9">SUM(B15:B23)</f>
        <v>330</v>
      </c>
      <c r="C24" s="9">
        <f t="shared" si="9"/>
        <v>205</v>
      </c>
      <c r="D24" s="9">
        <f t="shared" si="9"/>
        <v>190</v>
      </c>
      <c r="E24" s="9">
        <f t="shared" si="9"/>
        <v>15</v>
      </c>
      <c r="F24" s="9">
        <f t="shared" si="9"/>
        <v>0</v>
      </c>
      <c r="G24" s="9">
        <f t="shared" si="9"/>
        <v>695</v>
      </c>
      <c r="H24" s="9">
        <f t="shared" si="9"/>
        <v>900</v>
      </c>
      <c r="I24" s="9">
        <f t="shared" si="9"/>
        <v>30</v>
      </c>
      <c r="J24" s="6"/>
      <c r="K24" s="74">
        <f t="shared" si="3"/>
        <v>0</v>
      </c>
      <c r="L24" s="73">
        <f t="shared" si="4"/>
        <v>0</v>
      </c>
      <c r="M24" s="74">
        <f t="shared" si="5"/>
        <v>0</v>
      </c>
      <c r="N24" s="49" t="e">
        <f>IF(O24=""," ",VLOOKUP(O24,'[8]2012 личен състав ОТД'!$A:$AO,2,FALSE))</f>
        <v>#N/A</v>
      </c>
      <c r="O24" s="48" t="str">
        <f>IF(A24=""," ",VLOOKUP(A24,'Български език и история'!A:O,15,FALSE))</f>
        <v xml:space="preserve"> </v>
      </c>
      <c r="P24" s="49" t="e">
        <f>IF(O24=""," ",VLOOKUP(O24,'[8]2012 личен състав ОТД'!$A:$AO,13,FALSE))</f>
        <v>#N/A</v>
      </c>
      <c r="Q24" s="49" t="e">
        <f>IF(O24=""," ",VLOOKUP(O24,'[8]2012 личен състав ОТД'!$A:$AO,12,FALSE))</f>
        <v>#N/A</v>
      </c>
      <c r="R24" t="str">
        <f>IF(A24=""," ",VLOOKUP(A24,'Профилиращ лист'!A:B,2,FALSE))</f>
        <v xml:space="preserve"> </v>
      </c>
      <c r="T24" t="e">
        <f t="shared" ca="1" si="0"/>
        <v>#N/A</v>
      </c>
    </row>
    <row r="25" spans="1:20" ht="15.95" customHeight="1" x14ac:dyDescent="0.25">
      <c r="A25" s="1" t="s">
        <v>30</v>
      </c>
      <c r="B25" s="1"/>
      <c r="C25" s="4"/>
      <c r="D25" s="4"/>
      <c r="E25" s="4"/>
      <c r="F25" s="4"/>
      <c r="G25" s="4"/>
      <c r="H25" s="4"/>
      <c r="I25" s="5"/>
      <c r="J25" s="6"/>
      <c r="K25" s="74">
        <f t="shared" si="3"/>
        <v>0</v>
      </c>
      <c r="L25" s="73">
        <f t="shared" si="4"/>
        <v>0</v>
      </c>
      <c r="M25" s="74">
        <f t="shared" si="5"/>
        <v>0</v>
      </c>
      <c r="N25" s="49" t="str">
        <f>IF(O25=""," ",VLOOKUP(O25,'[8]2012 личен състав ОТД'!$A:$AO,2,FALSE))</f>
        <v xml:space="preserve">   </v>
      </c>
      <c r="O25" s="48">
        <f>IF(A25=""," ",VLOOKUP(A25,'Български език и история'!A:O,15,FALSE))</f>
        <v>0</v>
      </c>
      <c r="P25" s="49">
        <f>IF(O25=""," ",VLOOKUP(O25,'[8]2012 личен състав ОТД'!$A:$AO,13,FALSE))</f>
        <v>0</v>
      </c>
      <c r="Q25" s="49">
        <f>IF(O25=""," ",VLOOKUP(O25,'[8]2012 личен състав ОТД'!$A:$AO,12,FALSE))</f>
        <v>0</v>
      </c>
      <c r="R25" t="e">
        <f>IF(A25=""," ",VLOOKUP(A25,'Профилиращ лист'!A:B,2,FALSE))</f>
        <v>#N/A</v>
      </c>
      <c r="T25">
        <f t="shared" ca="1" si="0"/>
        <v>2013</v>
      </c>
    </row>
    <row r="26" spans="1:20" ht="15.95" customHeight="1" x14ac:dyDescent="0.25">
      <c r="A26" s="8" t="s">
        <v>91</v>
      </c>
      <c r="B26" s="8">
        <v>45</v>
      </c>
      <c r="C26" s="50">
        <v>25</v>
      </c>
      <c r="D26" s="4">
        <v>15</v>
      </c>
      <c r="E26" s="4">
        <v>10</v>
      </c>
      <c r="F26" s="50">
        <f t="shared" ref="F26:F34" si="10">C26-D26-E26</f>
        <v>0</v>
      </c>
      <c r="G26" s="50">
        <f t="shared" ref="G26:G34" si="11">H26-C26</f>
        <v>35</v>
      </c>
      <c r="H26" s="4">
        <f>I26*30</f>
        <v>60</v>
      </c>
      <c r="I26" s="4">
        <v>2</v>
      </c>
      <c r="J26" s="4" t="s">
        <v>14</v>
      </c>
      <c r="K26" s="74">
        <f t="shared" si="3"/>
        <v>35</v>
      </c>
      <c r="L26" s="73">
        <f t="shared" si="4"/>
        <v>25</v>
      </c>
      <c r="M26" s="74">
        <f t="shared" si="5"/>
        <v>10</v>
      </c>
      <c r="N26" s="49" t="str">
        <f>IF(O26=""," ",VLOOKUP(O26,'[8]2012 личен състав ОТД'!$A:$AO,2,FALSE))</f>
        <v xml:space="preserve">   </v>
      </c>
      <c r="O26" s="48">
        <f>IF(A26=""," ",VLOOKUP(A26,'Български език и история'!A:O,15,FALSE))</f>
        <v>0</v>
      </c>
      <c r="P26" s="49">
        <f>IF(O26=""," ",VLOOKUP(O26,'[8]2012 личен състав ОТД'!$A:$AO,13,FALSE))</f>
        <v>0</v>
      </c>
      <c r="Q26" s="49">
        <f>IF(O26=""," ",VLOOKUP(O26,'[8]2012 личен състав ОТД'!$A:$AO,12,FALSE))</f>
        <v>0</v>
      </c>
      <c r="R26" t="str">
        <f>IF(A26=""," ",VLOOKUP(A26,'Профилиращ лист'!A:B,2,FALSE))</f>
        <v>ОИД</v>
      </c>
      <c r="T26">
        <f t="shared" ca="1" si="0"/>
        <v>2013</v>
      </c>
    </row>
    <row r="27" spans="1:20" ht="15.95" customHeight="1" x14ac:dyDescent="0.25">
      <c r="A27" s="8" t="s">
        <v>31</v>
      </c>
      <c r="B27" s="4">
        <v>30</v>
      </c>
      <c r="C27" s="50">
        <f>'Български език и история'!C28/2</f>
        <v>15</v>
      </c>
      <c r="D27" s="4">
        <v>15</v>
      </c>
      <c r="E27" s="4">
        <v>0</v>
      </c>
      <c r="F27" s="50">
        <f t="shared" si="10"/>
        <v>0</v>
      </c>
      <c r="G27" s="50">
        <f t="shared" si="11"/>
        <v>75</v>
      </c>
      <c r="H27" s="4">
        <v>90</v>
      </c>
      <c r="I27" s="4">
        <v>3</v>
      </c>
      <c r="J27" s="4" t="s">
        <v>14</v>
      </c>
      <c r="K27" s="74">
        <f t="shared" si="3"/>
        <v>40</v>
      </c>
      <c r="L27" s="73">
        <f t="shared" si="4"/>
        <v>40</v>
      </c>
      <c r="M27" s="74">
        <f t="shared" si="5"/>
        <v>0</v>
      </c>
      <c r="N27" s="49" t="str">
        <f>IF(O27=""," ",VLOOKUP(O27,'[8]2012 личен състав ОТД'!$A:$AO,2,FALSE))</f>
        <v xml:space="preserve">   </v>
      </c>
      <c r="O27" s="48">
        <f>IF(A27=""," ",VLOOKUP(A27,'Български език и история'!A:O,15,FALSE))</f>
        <v>0</v>
      </c>
      <c r="P27" s="49">
        <f>IF(O27=""," ",VLOOKUP(O27,'[8]2012 личен състав ОТД'!$A:$AO,13,FALSE))</f>
        <v>0</v>
      </c>
      <c r="Q27" s="49">
        <f>IF(O27=""," ",VLOOKUP(O27,'[8]2012 личен състав ОТД'!$A:$AO,12,FALSE))</f>
        <v>0</v>
      </c>
      <c r="R27" t="str">
        <f>IF(A27=""," ",VLOOKUP(A27,'Профилиращ лист'!A:B,2,FALSE))</f>
        <v>СПЕ</v>
      </c>
      <c r="T27">
        <f t="shared" ca="1" si="0"/>
        <v>2013</v>
      </c>
    </row>
    <row r="28" spans="1:20" ht="15.95" customHeight="1" x14ac:dyDescent="0.25">
      <c r="A28" s="8" t="s">
        <v>87</v>
      </c>
      <c r="B28" s="8">
        <v>60</v>
      </c>
      <c r="C28" s="50">
        <f>'Български език и история'!C29/2</f>
        <v>30</v>
      </c>
      <c r="D28" s="4">
        <v>15</v>
      </c>
      <c r="E28" s="4">
        <v>15</v>
      </c>
      <c r="F28" s="50">
        <f t="shared" si="10"/>
        <v>0</v>
      </c>
      <c r="G28" s="50">
        <f t="shared" si="11"/>
        <v>120</v>
      </c>
      <c r="H28" s="4">
        <f>I28*30</f>
        <v>150</v>
      </c>
      <c r="I28" s="4">
        <v>5</v>
      </c>
      <c r="J28" s="6" t="s">
        <v>12</v>
      </c>
      <c r="K28" s="74">
        <f t="shared" si="3"/>
        <v>60</v>
      </c>
      <c r="L28" s="73">
        <f t="shared" si="4"/>
        <v>45</v>
      </c>
      <c r="M28" s="74">
        <f t="shared" si="5"/>
        <v>15</v>
      </c>
      <c r="N28" s="49" t="str">
        <f>IF(O28=""," ",VLOOKUP(O28,'[8]2012 личен състав ОТД'!$A:$AO,2,FALSE))</f>
        <v>гл. ас. д-р Румяна Комсалова</v>
      </c>
      <c r="O28" s="48" t="s">
        <v>463</v>
      </c>
      <c r="P28" s="49">
        <f>IF(O28=""," ",VLOOKUP(O28,'[8]2012 личен състав ОТД'!$A:$AO,13,FALSE))</f>
        <v>1954</v>
      </c>
      <c r="Q28" s="49" t="str">
        <f>IF(O28=""," ",VLOOKUP(O28,'[8]2012 личен състав ОТД'!$A:$AO,12,FALSE))</f>
        <v>ОТД</v>
      </c>
      <c r="R28" t="str">
        <f>IF(A28=""," ",VLOOKUP(A28,'Профилиращ лист'!A:B,2,FALSE))</f>
        <v>СПЕ</v>
      </c>
      <c r="T28">
        <f t="shared" ca="1" si="0"/>
        <v>59</v>
      </c>
    </row>
    <row r="29" spans="1:20" ht="15.95" customHeight="1" x14ac:dyDescent="0.25">
      <c r="A29" s="8" t="s">
        <v>92</v>
      </c>
      <c r="B29" s="8">
        <v>45</v>
      </c>
      <c r="C29" s="50">
        <v>25</v>
      </c>
      <c r="D29" s="4">
        <v>15</v>
      </c>
      <c r="E29" s="4">
        <v>10</v>
      </c>
      <c r="F29" s="50">
        <f t="shared" si="10"/>
        <v>0</v>
      </c>
      <c r="G29" s="50">
        <f t="shared" si="11"/>
        <v>125</v>
      </c>
      <c r="H29" s="4">
        <f>I29*30</f>
        <v>150</v>
      </c>
      <c r="I29" s="4">
        <v>5</v>
      </c>
      <c r="J29" s="6" t="s">
        <v>12</v>
      </c>
      <c r="K29" s="74">
        <f t="shared" si="3"/>
        <v>25</v>
      </c>
      <c r="L29" s="73">
        <f t="shared" si="4"/>
        <v>15</v>
      </c>
      <c r="M29" s="74">
        <f t="shared" si="5"/>
        <v>10</v>
      </c>
      <c r="N29" s="49" t="str">
        <f>IF(O29=""," ",VLOOKUP(O29,'[8]2012 личен състав ОТД'!$A:$AO,2,FALSE))</f>
        <v>гл. ас. д-р Димитър Димитров</v>
      </c>
      <c r="O29" s="48" t="str">
        <f>IF(A29=""," ",VLOOKUP(A29,'Български език и история'!A:O,15,FALSE))</f>
        <v>димитров</v>
      </c>
      <c r="P29" s="49">
        <f>IF(O29=""," ",VLOOKUP(O29,'[8]2012 личен състав ОТД'!$A:$AO,13,FALSE))</f>
        <v>1968</v>
      </c>
      <c r="Q29" s="49" t="str">
        <f>IF(O29=""," ",VLOOKUP(O29,'[8]2012 личен състав ОТД'!$A:$AO,12,FALSE))</f>
        <v>ОТД</v>
      </c>
      <c r="R29" t="str">
        <f>IF(A29=""," ",VLOOKUP(A29,'Профилиращ лист'!A:B,2,FALSE))</f>
        <v>СПЕ</v>
      </c>
      <c r="T29">
        <f t="shared" ca="1" si="0"/>
        <v>45</v>
      </c>
    </row>
    <row r="30" spans="1:20" ht="15.95" customHeight="1" x14ac:dyDescent="0.25">
      <c r="A30" s="8" t="s">
        <v>93</v>
      </c>
      <c r="B30" s="8">
        <v>15</v>
      </c>
      <c r="C30" s="50">
        <f>'Български език и история'!C31/2</f>
        <v>15</v>
      </c>
      <c r="D30" s="4">
        <v>15</v>
      </c>
      <c r="E30" s="4">
        <v>0</v>
      </c>
      <c r="F30" s="50">
        <f t="shared" si="10"/>
        <v>0</v>
      </c>
      <c r="G30" s="50">
        <f t="shared" si="11"/>
        <v>45</v>
      </c>
      <c r="H30" s="4">
        <f>I30*30</f>
        <v>60</v>
      </c>
      <c r="I30" s="4">
        <v>2</v>
      </c>
      <c r="J30" s="6" t="s">
        <v>12</v>
      </c>
      <c r="K30" s="74">
        <f t="shared" si="3"/>
        <v>15</v>
      </c>
      <c r="L30" s="73">
        <f t="shared" si="4"/>
        <v>15</v>
      </c>
      <c r="M30" s="74">
        <f t="shared" si="5"/>
        <v>0</v>
      </c>
      <c r="N30" s="49" t="str">
        <f>IF(O30=""," ",VLOOKUP(O30,'[8]2012 личен състав ОТД'!$A:$AO,2,FALSE))</f>
        <v>гл. ас. д-р Аделина Странджева</v>
      </c>
      <c r="O30" s="48" t="str">
        <f>IF(A30=""," ",VLOOKUP(A30,'Български език и история'!A:O,15,FALSE))</f>
        <v>странджева</v>
      </c>
      <c r="P30" s="49">
        <f>IF(O30=""," ",VLOOKUP(O30,'[8]2012 личен състав ОТД'!$A:$AO,13,FALSE))</f>
        <v>1960</v>
      </c>
      <c r="Q30" s="49" t="str">
        <f>IF(O30=""," ",VLOOKUP(O30,'[8]2012 личен състав ОТД'!$A:$AO,12,FALSE))</f>
        <v>ОТД</v>
      </c>
      <c r="R30" t="str">
        <f>IF(A30=""," ",VLOOKUP(A30,'Профилиращ лист'!A:B,2,FALSE))</f>
        <v>ПЕД</v>
      </c>
      <c r="T30">
        <f t="shared" ca="1" si="0"/>
        <v>53</v>
      </c>
    </row>
    <row r="31" spans="1:20" ht="15.95" customHeight="1" x14ac:dyDescent="0.25">
      <c r="A31" s="8" t="s">
        <v>34</v>
      </c>
      <c r="B31" s="4">
        <v>60</v>
      </c>
      <c r="C31" s="50">
        <f>'Български език и история'!C32/2</f>
        <v>30</v>
      </c>
      <c r="D31" s="4">
        <v>15</v>
      </c>
      <c r="E31" s="4">
        <v>15</v>
      </c>
      <c r="F31" s="50">
        <f t="shared" si="10"/>
        <v>0</v>
      </c>
      <c r="G31" s="50">
        <f t="shared" si="11"/>
        <v>90</v>
      </c>
      <c r="H31" s="4">
        <v>120</v>
      </c>
      <c r="I31" s="4">
        <v>4</v>
      </c>
      <c r="J31" s="4" t="s">
        <v>12</v>
      </c>
      <c r="K31" s="74">
        <f t="shared" si="3"/>
        <v>30</v>
      </c>
      <c r="L31" s="73">
        <f t="shared" si="4"/>
        <v>15</v>
      </c>
      <c r="M31" s="74">
        <f t="shared" si="5"/>
        <v>15</v>
      </c>
      <c r="N31" s="49" t="str">
        <f>IF(O31=""," ",VLOOKUP(O31,'[8]2012 личен състав ОТД'!$A:$AO,2,FALSE))</f>
        <v>проф. д.п.н. Пламен Радев</v>
      </c>
      <c r="O31" s="48" t="str">
        <f>IF(A31=""," ",VLOOKUP(A31,'Български език и история'!A:O,15,FALSE))</f>
        <v>радев</v>
      </c>
      <c r="P31" s="49">
        <f>IF(O31=""," ",VLOOKUP(O31,'[8]2012 личен състав ОТД'!$A:$AO,13,FALSE))</f>
        <v>1950</v>
      </c>
      <c r="Q31" s="49" t="str">
        <f>IF(O31=""," ",VLOOKUP(O31,'[8]2012 личен състав ОТД'!$A:$AO,12,FALSE))</f>
        <v>ОТД</v>
      </c>
      <c r="R31" t="str">
        <f>IF(A31=""," ",VLOOKUP(A31,'Профилиращ лист'!A:B,2,FALSE))</f>
        <v>ПЕД</v>
      </c>
      <c r="T31">
        <f t="shared" ca="1" si="0"/>
        <v>63</v>
      </c>
    </row>
    <row r="32" spans="1:20" ht="15.95" customHeight="1" x14ac:dyDescent="0.25">
      <c r="A32" s="8" t="s">
        <v>35</v>
      </c>
      <c r="B32" s="4">
        <v>45</v>
      </c>
      <c r="C32" s="50">
        <v>25</v>
      </c>
      <c r="D32" s="4">
        <v>15</v>
      </c>
      <c r="E32" s="4">
        <v>10</v>
      </c>
      <c r="F32" s="50">
        <f t="shared" si="10"/>
        <v>0</v>
      </c>
      <c r="G32" s="50">
        <f t="shared" si="11"/>
        <v>65</v>
      </c>
      <c r="H32" s="4">
        <v>90</v>
      </c>
      <c r="I32" s="4">
        <v>3</v>
      </c>
      <c r="J32" s="4" t="s">
        <v>12</v>
      </c>
      <c r="K32" s="74">
        <f t="shared" si="3"/>
        <v>25</v>
      </c>
      <c r="L32" s="73">
        <f t="shared" si="4"/>
        <v>15</v>
      </c>
      <c r="M32" s="74">
        <f t="shared" si="5"/>
        <v>10</v>
      </c>
      <c r="N32" s="49" t="str">
        <f>IF(O32=""," ",VLOOKUP(O32,'[8]2012 личен състав ОТД'!$A:$AO,2,FALSE))</f>
        <v>проф. д.п.н. Румен Стаматов</v>
      </c>
      <c r="O32" s="48" t="str">
        <f>IF(A32=""," ",VLOOKUP(A32,'Български език и история'!A:O,15,FALSE))</f>
        <v>стаматов</v>
      </c>
      <c r="P32" s="49">
        <f>IF(O32=""," ",VLOOKUP(O32,'[8]2012 личен състав ОТД'!$A:$AO,13,FALSE))</f>
        <v>1953</v>
      </c>
      <c r="Q32" s="49" t="str">
        <f>IF(O32=""," ",VLOOKUP(O32,'[8]2012 личен състав ОТД'!$A:$AO,12,FALSE))</f>
        <v>ОТД</v>
      </c>
      <c r="R32" t="str">
        <f>IF(A32=""," ",VLOOKUP(A32,'Профилиращ лист'!A:B,2,FALSE))</f>
        <v>ПЕД</v>
      </c>
      <c r="T32">
        <f t="shared" ca="1" si="0"/>
        <v>60</v>
      </c>
    </row>
    <row r="33" spans="1:28" ht="15.95" customHeight="1" x14ac:dyDescent="0.25">
      <c r="A33" s="8" t="s">
        <v>94</v>
      </c>
      <c r="B33" s="8">
        <v>45</v>
      </c>
      <c r="C33" s="50">
        <v>25</v>
      </c>
      <c r="D33" s="4">
        <v>15</v>
      </c>
      <c r="E33" s="4">
        <v>10</v>
      </c>
      <c r="F33" s="50">
        <f t="shared" si="10"/>
        <v>0</v>
      </c>
      <c r="G33" s="50">
        <f t="shared" si="11"/>
        <v>65</v>
      </c>
      <c r="H33" s="4">
        <f>I33*30</f>
        <v>90</v>
      </c>
      <c r="I33" s="4">
        <v>3</v>
      </c>
      <c r="J33" s="4" t="s">
        <v>14</v>
      </c>
      <c r="K33" s="74">
        <f t="shared" si="3"/>
        <v>50</v>
      </c>
      <c r="L33" s="73">
        <f t="shared" si="4"/>
        <v>30</v>
      </c>
      <c r="M33" s="74">
        <f t="shared" si="5"/>
        <v>20</v>
      </c>
      <c r="N33" s="49" t="str">
        <f>IF(O33=""," ",VLOOKUP(O33,'[8]2012 личен състав ОТД'!$A:$AO,2,FALSE))</f>
        <v xml:space="preserve">   </v>
      </c>
      <c r="O33" s="48">
        <f>IF(A33=""," ",VLOOKUP(A33,'Български език и история'!A:O,15,FALSE))</f>
        <v>0</v>
      </c>
      <c r="P33" s="49">
        <f>IF(O33=""," ",VLOOKUP(O33,'[8]2012 личен състав ОТД'!$A:$AO,13,FALSE))</f>
        <v>0</v>
      </c>
      <c r="Q33" s="49">
        <f>IF(O33=""," ",VLOOKUP(O33,'[8]2012 личен състав ОТД'!$A:$AO,12,FALSE))</f>
        <v>0</v>
      </c>
      <c r="R33" t="str">
        <f>IF(A33=""," ",VLOOKUP(A33,'Профилиращ лист'!A:B,2,FALSE))</f>
        <v>ОИД</v>
      </c>
      <c r="T33">
        <f t="shared" ca="1" si="0"/>
        <v>2013</v>
      </c>
    </row>
    <row r="34" spans="1:28" ht="15.95" customHeight="1" x14ac:dyDescent="0.25">
      <c r="A34" s="8" t="s">
        <v>37</v>
      </c>
      <c r="B34" s="4">
        <v>30</v>
      </c>
      <c r="C34" s="50">
        <v>25</v>
      </c>
      <c r="D34" s="4">
        <v>20</v>
      </c>
      <c r="E34" s="4">
        <v>5</v>
      </c>
      <c r="F34" s="50">
        <f t="shared" si="10"/>
        <v>0</v>
      </c>
      <c r="G34" s="50">
        <f t="shared" si="11"/>
        <v>65</v>
      </c>
      <c r="H34" s="4">
        <v>90</v>
      </c>
      <c r="I34" s="4">
        <v>3</v>
      </c>
      <c r="J34" s="4" t="s">
        <v>12</v>
      </c>
      <c r="K34" s="74">
        <f t="shared" si="3"/>
        <v>25</v>
      </c>
      <c r="L34" s="73">
        <f t="shared" si="4"/>
        <v>20</v>
      </c>
      <c r="M34" s="74">
        <f t="shared" si="5"/>
        <v>5</v>
      </c>
      <c r="N34" s="49" t="str">
        <f>IF(O34=""," ",VLOOKUP(O34,'[8]2012 личен състав ОТД'!$A:$AO,2,FALSE))</f>
        <v>гл. ас. д-р Иванка Гайдаджиева</v>
      </c>
      <c r="O34" s="48" t="str">
        <f>IF(A34=""," ",VLOOKUP(A34,'Български език и история'!A:O,15,FALSE))</f>
        <v>гайдаджиева</v>
      </c>
      <c r="P34" s="49">
        <f>IF(O34=""," ",VLOOKUP(O34,'[8]2012 личен състав ОТД'!$A:$AO,13,FALSE))</f>
        <v>1958</v>
      </c>
      <c r="Q34" s="49" t="str">
        <f>IF(O34=""," ",VLOOKUP(O34,'[8]2012 личен състав ОТД'!$A:$AO,12,FALSE))</f>
        <v>ОТД</v>
      </c>
      <c r="R34" t="str">
        <f>IF(A34=""," ",VLOOKUP(A34,'Профилиращ лист'!A:B,2,FALSE))</f>
        <v>СПЕ</v>
      </c>
      <c r="T34">
        <f t="shared" ca="1" si="0"/>
        <v>55</v>
      </c>
    </row>
    <row r="35" spans="1:28" ht="15.95" customHeight="1" x14ac:dyDescent="0.25">
      <c r="A35" s="8"/>
      <c r="B35" s="9">
        <f t="shared" ref="B35:I35" si="12">SUM(B26:B34)</f>
        <v>375</v>
      </c>
      <c r="C35" s="9">
        <f t="shared" si="12"/>
        <v>215</v>
      </c>
      <c r="D35" s="9">
        <f t="shared" si="12"/>
        <v>140</v>
      </c>
      <c r="E35" s="9">
        <f t="shared" si="12"/>
        <v>75</v>
      </c>
      <c r="F35" s="9">
        <f t="shared" si="12"/>
        <v>0</v>
      </c>
      <c r="G35" s="9">
        <f t="shared" si="12"/>
        <v>685</v>
      </c>
      <c r="H35" s="9">
        <f t="shared" si="12"/>
        <v>900</v>
      </c>
      <c r="I35" s="9">
        <f t="shared" si="12"/>
        <v>30</v>
      </c>
      <c r="J35" s="6"/>
      <c r="K35" s="74">
        <f t="shared" si="3"/>
        <v>0</v>
      </c>
      <c r="L35" s="73">
        <f t="shared" si="4"/>
        <v>0</v>
      </c>
      <c r="M35" s="74">
        <f t="shared" si="5"/>
        <v>0</v>
      </c>
      <c r="N35" s="49" t="e">
        <f>IF(O35=""," ",VLOOKUP(O35,'[8]2012 личен състав ОТД'!$A:$AO,2,FALSE))</f>
        <v>#N/A</v>
      </c>
      <c r="O35" s="48" t="str">
        <f>IF(A35=""," ",VLOOKUP(A35,'Български език и история'!A:O,15,FALSE))</f>
        <v xml:space="preserve"> </v>
      </c>
      <c r="P35" s="49" t="e">
        <f>IF(O35=""," ",VLOOKUP(O35,'[8]2012 личен състав ОТД'!$A:$AO,13,FALSE))</f>
        <v>#N/A</v>
      </c>
      <c r="Q35" s="49" t="e">
        <f>IF(O35=""," ",VLOOKUP(O35,'[8]2012 личен състав ОТД'!$A:$AO,12,FALSE))</f>
        <v>#N/A</v>
      </c>
      <c r="R35" t="str">
        <f>IF(A35=""," ",VLOOKUP(A35,'Профилиращ лист'!A:B,2,FALSE))</f>
        <v xml:space="preserve"> </v>
      </c>
      <c r="T35" t="e">
        <f t="shared" ref="T35:T66" ca="1" si="13">Години-P35</f>
        <v>#N/A</v>
      </c>
    </row>
    <row r="36" spans="1:28" ht="15" customHeight="1" x14ac:dyDescent="0.25">
      <c r="A36" s="1" t="s">
        <v>38</v>
      </c>
      <c r="B36" s="1"/>
      <c r="C36" s="4"/>
      <c r="D36" s="4"/>
      <c r="E36" s="4"/>
      <c r="F36" s="4"/>
      <c r="G36" s="4"/>
      <c r="H36" s="4"/>
      <c r="I36" s="4"/>
      <c r="J36" s="6"/>
      <c r="K36" s="74">
        <f t="shared" si="3"/>
        <v>0</v>
      </c>
      <c r="L36" s="73">
        <f t="shared" si="4"/>
        <v>0</v>
      </c>
      <c r="M36" s="74">
        <f t="shared" si="5"/>
        <v>0</v>
      </c>
      <c r="N36" s="49" t="str">
        <f>IF(O36=""," ",VLOOKUP(O36,'[8]2012 личен състав ОТД'!$A:$AO,2,FALSE))</f>
        <v xml:space="preserve">   </v>
      </c>
      <c r="O36" s="48">
        <f>IF(A36=""," ",VLOOKUP(A36,'Български език и история'!A:O,15,FALSE))</f>
        <v>0</v>
      </c>
      <c r="P36" s="49">
        <f>IF(O36=""," ",VLOOKUP(O36,'[8]2012 личен състав ОТД'!$A:$AO,13,FALSE))</f>
        <v>0</v>
      </c>
      <c r="Q36" s="49">
        <f>IF(O36=""," ",VLOOKUP(O36,'[8]2012 личен състав ОТД'!$A:$AO,12,FALSE))</f>
        <v>0</v>
      </c>
      <c r="R36" t="e">
        <f>IF(A36=""," ",VLOOKUP(A36,'Профилиращ лист'!A:B,2,FALSE))</f>
        <v>#N/A</v>
      </c>
      <c r="T36">
        <f t="shared" ca="1" si="13"/>
        <v>2013</v>
      </c>
    </row>
    <row r="37" spans="1:28" ht="15" customHeight="1" x14ac:dyDescent="0.25">
      <c r="A37" s="8" t="s">
        <v>39</v>
      </c>
      <c r="B37" s="4">
        <v>45</v>
      </c>
      <c r="C37" s="50">
        <v>25</v>
      </c>
      <c r="D37" s="4">
        <v>15</v>
      </c>
      <c r="E37" s="4">
        <v>10</v>
      </c>
      <c r="F37" s="50">
        <f t="shared" ref="F37:F46" si="14">C37-D37-E37</f>
        <v>0</v>
      </c>
      <c r="G37" s="50">
        <f t="shared" ref="G37:G46" si="15">H37-C37</f>
        <v>95</v>
      </c>
      <c r="H37" s="4">
        <f>I37*30</f>
        <v>120</v>
      </c>
      <c r="I37" s="4">
        <v>4</v>
      </c>
      <c r="J37" s="4" t="s">
        <v>14</v>
      </c>
      <c r="K37" s="74">
        <f t="shared" si="3"/>
        <v>50</v>
      </c>
      <c r="L37" s="73">
        <f t="shared" si="4"/>
        <v>30</v>
      </c>
      <c r="M37" s="74">
        <f t="shared" si="5"/>
        <v>20</v>
      </c>
      <c r="N37" s="49" t="str">
        <f>IF(O37=""," ",VLOOKUP(O37,'[8]2012 личен състав ОТД'!$A:$AO,2,FALSE))</f>
        <v xml:space="preserve">   </v>
      </c>
      <c r="O37" s="48">
        <f>IF(A37=""," ",VLOOKUP(A37,'Български език и история'!A:O,15,FALSE))</f>
        <v>0</v>
      </c>
      <c r="P37" s="49">
        <f>IF(O37=""," ",VLOOKUP(O37,'[8]2012 личен състав ОТД'!$A:$AO,13,FALSE))</f>
        <v>0</v>
      </c>
      <c r="Q37" s="49">
        <f>IF(O37=""," ",VLOOKUP(O37,'[8]2012 личен състав ОТД'!$A:$AO,12,FALSE))</f>
        <v>0</v>
      </c>
      <c r="R37" t="str">
        <f>IF(A37=""," ",VLOOKUP(A37,'Профилиращ лист'!A:B,2,FALSE))</f>
        <v>СПЕ</v>
      </c>
      <c r="T37">
        <f t="shared" ca="1" si="13"/>
        <v>2013</v>
      </c>
    </row>
    <row r="38" spans="1:28" ht="15" customHeight="1" x14ac:dyDescent="0.25">
      <c r="A38" s="8" t="s">
        <v>31</v>
      </c>
      <c r="B38" s="4">
        <v>30</v>
      </c>
      <c r="C38" s="50">
        <v>25</v>
      </c>
      <c r="D38" s="4">
        <v>25</v>
      </c>
      <c r="E38" s="4">
        <v>0</v>
      </c>
      <c r="F38" s="50">
        <f t="shared" si="14"/>
        <v>0</v>
      </c>
      <c r="G38" s="50">
        <f t="shared" si="15"/>
        <v>65</v>
      </c>
      <c r="H38" s="4">
        <v>90</v>
      </c>
      <c r="I38" s="4">
        <v>3</v>
      </c>
      <c r="J38" s="4" t="s">
        <v>12</v>
      </c>
      <c r="K38" s="74">
        <f t="shared" si="3"/>
        <v>40</v>
      </c>
      <c r="L38" s="73">
        <f t="shared" si="4"/>
        <v>40</v>
      </c>
      <c r="M38" s="74">
        <f t="shared" si="5"/>
        <v>0</v>
      </c>
      <c r="N38" s="49" t="str">
        <f>IF(O38=""," ",VLOOKUP(O38,'[8]2012 личен състав ОТД'!$A:$AO,2,FALSE))</f>
        <v>доц. д-р Елена Гетова</v>
      </c>
      <c r="O38" s="48" t="s">
        <v>468</v>
      </c>
      <c r="P38" s="49">
        <f>IF(O38=""," ",VLOOKUP(O38,'[8]2012 личен състав ОТД'!$A:$AO,13,FALSE))</f>
        <v>1969</v>
      </c>
      <c r="Q38" s="49" t="str">
        <f>IF(O38=""," ",VLOOKUP(O38,'[8]2012 личен състав ОТД'!$A:$AO,12,FALSE))</f>
        <v>ОТД</v>
      </c>
      <c r="R38" t="str">
        <f>IF(A38=""," ",VLOOKUP(A38,'Профилиращ лист'!A:B,2,FALSE))</f>
        <v>СПЕ</v>
      </c>
      <c r="T38">
        <f t="shared" ca="1" si="13"/>
        <v>44</v>
      </c>
    </row>
    <row r="39" spans="1:28" ht="15" customHeight="1" x14ac:dyDescent="0.25">
      <c r="A39" s="8" t="s">
        <v>91</v>
      </c>
      <c r="B39" s="8">
        <v>15</v>
      </c>
      <c r="C39" s="50">
        <v>10</v>
      </c>
      <c r="D39" s="4">
        <v>10</v>
      </c>
      <c r="E39" s="4">
        <v>0</v>
      </c>
      <c r="F39" s="50">
        <f t="shared" si="14"/>
        <v>0</v>
      </c>
      <c r="G39" s="50">
        <f t="shared" si="15"/>
        <v>50</v>
      </c>
      <c r="H39" s="4">
        <f>I39*30</f>
        <v>60</v>
      </c>
      <c r="I39" s="4">
        <v>2</v>
      </c>
      <c r="J39" s="6" t="s">
        <v>12</v>
      </c>
      <c r="K39" s="74">
        <f t="shared" si="3"/>
        <v>35</v>
      </c>
      <c r="L39" s="73">
        <f t="shared" si="4"/>
        <v>25</v>
      </c>
      <c r="M39" s="74">
        <f t="shared" si="5"/>
        <v>10</v>
      </c>
      <c r="N39" s="49" t="str">
        <f>IF(O39=""," ",VLOOKUP(O39,'[8]2012 личен състав ОТД'!$A:$AO,2,FALSE))</f>
        <v>доц. д-р Иван Джамбов</v>
      </c>
      <c r="O39" s="48" t="s">
        <v>452</v>
      </c>
      <c r="P39" s="49">
        <f>IF(O39=""," ",VLOOKUP(O39,'[8]2012 личен състав ОТД'!$A:$AO,13,FALSE))</f>
        <v>1949</v>
      </c>
      <c r="Q39" s="49" t="str">
        <f>IF(O39=""," ",VLOOKUP(O39,'[8]2012 личен състав ОТД'!$A:$AO,12,FALSE))</f>
        <v>ОТД</v>
      </c>
      <c r="R39" t="str">
        <f>IF(A39=""," ",VLOOKUP(A39,'Профилиращ лист'!A:B,2,FALSE))</f>
        <v>ОИД</v>
      </c>
      <c r="T39">
        <f t="shared" ca="1" si="13"/>
        <v>64</v>
      </c>
    </row>
    <row r="40" spans="1:28" ht="15" customHeight="1" x14ac:dyDescent="0.25">
      <c r="A40" s="8" t="s">
        <v>96</v>
      </c>
      <c r="B40" s="8">
        <v>45</v>
      </c>
      <c r="C40" s="50">
        <v>25</v>
      </c>
      <c r="D40" s="4">
        <v>15</v>
      </c>
      <c r="E40" s="4">
        <v>10</v>
      </c>
      <c r="F40" s="50">
        <f t="shared" si="14"/>
        <v>0</v>
      </c>
      <c r="G40" s="50">
        <f t="shared" si="15"/>
        <v>65</v>
      </c>
      <c r="H40" s="4">
        <f>I40*30</f>
        <v>90</v>
      </c>
      <c r="I40" s="4">
        <v>3</v>
      </c>
      <c r="J40" s="6" t="s">
        <v>12</v>
      </c>
      <c r="K40" s="74">
        <f t="shared" si="3"/>
        <v>25</v>
      </c>
      <c r="L40" s="73">
        <f t="shared" si="4"/>
        <v>15</v>
      </c>
      <c r="M40" s="74">
        <f t="shared" si="5"/>
        <v>10</v>
      </c>
      <c r="N40" s="49" t="str">
        <f>IF(O40=""," ",VLOOKUP(O40,'[8]2012 личен състав ОТД'!$A:$AO,2,FALSE))</f>
        <v>гл. ас. д-р Румяна Комсалова</v>
      </c>
      <c r="O40" s="48" t="str">
        <f>IF(A40=""," ",VLOOKUP(A40,'Български език и история'!A:O,15,FALSE))</f>
        <v>комсалова</v>
      </c>
      <c r="P40" s="49">
        <f>IF(O40=""," ",VLOOKUP(O40,'[8]2012 личен състав ОТД'!$A:$AO,13,FALSE))</f>
        <v>1954</v>
      </c>
      <c r="Q40" s="49" t="str">
        <f>IF(O40=""," ",VLOOKUP(O40,'[8]2012 личен състав ОТД'!$A:$AO,12,FALSE))</f>
        <v>ОТД</v>
      </c>
      <c r="R40" t="str">
        <f>IF(A40=""," ",VLOOKUP(A40,'Профилиращ лист'!A:B,2,FALSE))</f>
        <v>СПЕ</v>
      </c>
      <c r="T40">
        <f t="shared" ca="1" si="13"/>
        <v>59</v>
      </c>
    </row>
    <row r="41" spans="1:28" ht="15" customHeight="1" x14ac:dyDescent="0.25">
      <c r="A41" s="8" t="s">
        <v>40</v>
      </c>
      <c r="B41" s="4">
        <v>30</v>
      </c>
      <c r="C41" s="50">
        <f>'Български език и история'!C43/2</f>
        <v>22.5</v>
      </c>
      <c r="D41" s="4">
        <v>15</v>
      </c>
      <c r="E41" s="4">
        <v>0</v>
      </c>
      <c r="F41" s="50">
        <f t="shared" si="14"/>
        <v>7.5</v>
      </c>
      <c r="G41" s="50">
        <f t="shared" si="15"/>
        <v>37.5</v>
      </c>
      <c r="H41" s="4">
        <v>60</v>
      </c>
      <c r="I41" s="4">
        <v>2</v>
      </c>
      <c r="J41" s="6" t="s">
        <v>12</v>
      </c>
      <c r="K41" s="74">
        <f t="shared" si="3"/>
        <v>22.5</v>
      </c>
      <c r="L41" s="73">
        <f t="shared" si="4"/>
        <v>15</v>
      </c>
      <c r="M41" s="74">
        <f t="shared" si="5"/>
        <v>7.5</v>
      </c>
      <c r="N41" s="49" t="str">
        <f>IF(O41=""," ",VLOOKUP(O41,'[8]2012 личен състав ОТД'!$A:$AO,2,FALSE))</f>
        <v>проф. дфн Диана Иванова</v>
      </c>
      <c r="O41" s="48" t="str">
        <f>IF(A41=""," ",VLOOKUP(A41,'Български език и история'!A:O,15,FALSE))</f>
        <v>диванова</v>
      </c>
      <c r="P41" s="49">
        <f>IF(O41=""," ",VLOOKUP(O41,'[8]2012 личен състав ОТД'!$A:$AO,13,FALSE))</f>
        <v>1950</v>
      </c>
      <c r="Q41" s="49" t="str">
        <f>IF(O41=""," ",VLOOKUP(O41,'[8]2012 личен състав ОТД'!$A:$AO,12,FALSE))</f>
        <v>ОТД</v>
      </c>
      <c r="R41" t="str">
        <f>IF(A41=""," ",VLOOKUP(A41,'Профилиращ лист'!A:B,2,FALSE))</f>
        <v>СПЕ</v>
      </c>
      <c r="T41">
        <f t="shared" ca="1" si="13"/>
        <v>63</v>
      </c>
    </row>
    <row r="42" spans="1:28" ht="15" customHeight="1" x14ac:dyDescent="0.25">
      <c r="A42" s="8" t="s">
        <v>97</v>
      </c>
      <c r="B42" s="8">
        <v>60</v>
      </c>
      <c r="C42" s="50">
        <f>'Български език и история'!C44/2</f>
        <v>30</v>
      </c>
      <c r="D42" s="4">
        <v>15</v>
      </c>
      <c r="E42" s="4">
        <v>15</v>
      </c>
      <c r="F42" s="50">
        <f t="shared" si="14"/>
        <v>0</v>
      </c>
      <c r="G42" s="50">
        <f t="shared" si="15"/>
        <v>90</v>
      </c>
      <c r="H42" s="4">
        <f>I42*30</f>
        <v>120</v>
      </c>
      <c r="I42" s="4">
        <v>4</v>
      </c>
      <c r="J42" s="6" t="s">
        <v>12</v>
      </c>
      <c r="K42" s="74">
        <f t="shared" si="3"/>
        <v>30</v>
      </c>
      <c r="L42" s="73">
        <f t="shared" si="4"/>
        <v>15</v>
      </c>
      <c r="M42" s="74">
        <f t="shared" si="5"/>
        <v>15</v>
      </c>
      <c r="N42" s="49" t="str">
        <f>IF(O42=""," ",VLOOKUP(O42,'[8]2012 личен състав ОТД'!$A:$AO,2,FALSE))</f>
        <v>гл. ас. д-р Симеон Кацаров</v>
      </c>
      <c r="O42" s="48" t="str">
        <f>IF(A42=""," ",VLOOKUP(A42,'Български език и история'!A:O,15,FALSE))</f>
        <v>кацаров</v>
      </c>
      <c r="P42" s="49">
        <f>IF(O42=""," ",VLOOKUP(O42,'[8]2012 личен състав ОТД'!$A:$AO,13,FALSE))</f>
        <v>1968</v>
      </c>
      <c r="Q42" s="49" t="str">
        <f>IF(O42=""," ",VLOOKUP(O42,'[8]2012 личен състав ОТД'!$A:$AO,12,FALSE))</f>
        <v>ОТД</v>
      </c>
      <c r="R42" t="str">
        <f>IF(A42=""," ",VLOOKUP(A42,'Профилиращ лист'!A:B,2,FALSE))</f>
        <v>ОИД</v>
      </c>
      <c r="T42">
        <f t="shared" ca="1" si="13"/>
        <v>45</v>
      </c>
    </row>
    <row r="43" spans="1:28" ht="15.95" customHeight="1" x14ac:dyDescent="0.25">
      <c r="A43" s="8" t="s">
        <v>27</v>
      </c>
      <c r="B43" s="4">
        <v>15</v>
      </c>
      <c r="C43" s="50">
        <f>'Български език и история'!C45/2</f>
        <v>15</v>
      </c>
      <c r="D43" s="4">
        <v>15</v>
      </c>
      <c r="E43" s="4">
        <v>0</v>
      </c>
      <c r="F43" s="50">
        <f t="shared" si="14"/>
        <v>0</v>
      </c>
      <c r="G43" s="50">
        <f t="shared" si="15"/>
        <v>45</v>
      </c>
      <c r="H43" s="4">
        <v>60</v>
      </c>
      <c r="I43" s="4">
        <v>2</v>
      </c>
      <c r="J43" s="4" t="s">
        <v>18</v>
      </c>
      <c r="K43" s="74">
        <f t="shared" si="3"/>
        <v>15</v>
      </c>
      <c r="L43" s="73">
        <f t="shared" si="4"/>
        <v>15</v>
      </c>
      <c r="M43" s="74">
        <f t="shared" si="5"/>
        <v>0</v>
      </c>
      <c r="N43" s="49" t="str">
        <f>IF(O43=""," ",VLOOKUP(O43,'[8]2012 личен състав ОТД'!$A:$AO,2,FALSE))</f>
        <v xml:space="preserve">   </v>
      </c>
      <c r="O43" s="48">
        <f>IF(A43=""," ",VLOOKUP(A43,'Български език и история'!A:O,15,FALSE))</f>
        <v>0</v>
      </c>
      <c r="P43" s="49">
        <f>IF(O43=""," ",VLOOKUP(O43,'[8]2012 личен състав ОТД'!$A:$AO,13,FALSE))</f>
        <v>0</v>
      </c>
      <c r="Q43" s="49">
        <f>IF(O43=""," ",VLOOKUP(O43,'[8]2012 личен състав ОТД'!$A:$AO,12,FALSE))</f>
        <v>0</v>
      </c>
      <c r="R43" t="str">
        <f>IF(A43=""," ",VLOOKUP(A43,'Профилиращ лист'!A:B,2,FALSE))</f>
        <v>ФД</v>
      </c>
      <c r="T43">
        <f t="shared" ca="1" si="13"/>
        <v>2013</v>
      </c>
      <c r="AB43" s="49" t="s">
        <v>574</v>
      </c>
    </row>
    <row r="44" spans="1:28" ht="15" customHeight="1" x14ac:dyDescent="0.25">
      <c r="A44" s="8" t="s">
        <v>42</v>
      </c>
      <c r="B44" s="4">
        <v>60</v>
      </c>
      <c r="C44" s="50">
        <f>'Български език и история'!C46/2</f>
        <v>30</v>
      </c>
      <c r="D44" s="4">
        <v>30</v>
      </c>
      <c r="E44" s="4">
        <v>0</v>
      </c>
      <c r="F44" s="50">
        <f t="shared" si="14"/>
        <v>0</v>
      </c>
      <c r="G44" s="50">
        <f t="shared" si="15"/>
        <v>120</v>
      </c>
      <c r="H44" s="4">
        <v>150</v>
      </c>
      <c r="I44" s="4">
        <v>5</v>
      </c>
      <c r="J44" s="4" t="s">
        <v>12</v>
      </c>
      <c r="K44" s="74">
        <f t="shared" si="3"/>
        <v>30</v>
      </c>
      <c r="L44" s="73">
        <f t="shared" si="4"/>
        <v>30</v>
      </c>
      <c r="M44" s="74">
        <f t="shared" si="5"/>
        <v>0</v>
      </c>
      <c r="N44" s="49" t="str">
        <f>IF(O44=""," ",VLOOKUP(O44,'[8]2012 личен състав ОТД'!$A:$AO,2,FALSE))</f>
        <v>доц. д-р Николай Нейчев</v>
      </c>
      <c r="O44" s="48" t="str">
        <f>IF(A44=""," ",VLOOKUP(A44,'Български език и история'!A:O,15,FALSE))</f>
        <v>нейчев</v>
      </c>
      <c r="P44" s="49">
        <f>IF(O44=""," ",VLOOKUP(O44,'[8]2012 личен състав ОТД'!$A:$AO,13,FALSE))</f>
        <v>1959</v>
      </c>
      <c r="Q44" s="49" t="str">
        <f>IF(O44=""," ",VLOOKUP(O44,'[8]2012 личен състав ОТД'!$A:$AO,12,FALSE))</f>
        <v>ОТД</v>
      </c>
      <c r="R44" t="str">
        <f>IF(A44=""," ",VLOOKUP(A44,'Профилиращ лист'!A:B,2,FALSE))</f>
        <v>ОФД</v>
      </c>
      <c r="T44">
        <f t="shared" ca="1" si="13"/>
        <v>54</v>
      </c>
    </row>
    <row r="45" spans="1:28" ht="15" customHeight="1" x14ac:dyDescent="0.25">
      <c r="A45" s="8" t="s">
        <v>94</v>
      </c>
      <c r="B45" s="8">
        <v>45</v>
      </c>
      <c r="C45" s="50">
        <v>25</v>
      </c>
      <c r="D45" s="4">
        <v>15</v>
      </c>
      <c r="E45" s="4">
        <v>10</v>
      </c>
      <c r="F45" s="50">
        <f t="shared" si="14"/>
        <v>0</v>
      </c>
      <c r="G45" s="50">
        <f t="shared" si="15"/>
        <v>65</v>
      </c>
      <c r="H45" s="4">
        <f>I45*30</f>
        <v>90</v>
      </c>
      <c r="I45" s="4">
        <v>3</v>
      </c>
      <c r="J45" s="6" t="s">
        <v>12</v>
      </c>
      <c r="K45" s="74">
        <f t="shared" si="3"/>
        <v>50</v>
      </c>
      <c r="L45" s="73">
        <f t="shared" si="4"/>
        <v>30</v>
      </c>
      <c r="M45" s="74">
        <f t="shared" si="5"/>
        <v>20</v>
      </c>
      <c r="N45" s="49" t="str">
        <f>IF(O45=""," ",VLOOKUP(O45,'[8]2012 личен състав ОТД'!$A:$AO,2,FALSE))</f>
        <v>гл. ас. д-р Румяна Комсалова</v>
      </c>
      <c r="O45" s="48" t="s">
        <v>463</v>
      </c>
      <c r="P45" s="49">
        <f>IF(O45=""," ",VLOOKUP(O45,'[8]2012 личен състав ОТД'!$A:$AO,13,FALSE))</f>
        <v>1954</v>
      </c>
      <c r="Q45" s="49" t="str">
        <f>IF(O45=""," ",VLOOKUP(O45,'[8]2012 личен състав ОТД'!$A:$AO,12,FALSE))</f>
        <v>ОТД</v>
      </c>
      <c r="R45" t="str">
        <f>IF(A45=""," ",VLOOKUP(A45,'Профилиращ лист'!A:B,2,FALSE))</f>
        <v>ОИД</v>
      </c>
      <c r="T45">
        <f t="shared" ca="1" si="13"/>
        <v>59</v>
      </c>
    </row>
    <row r="46" spans="1:28" ht="15" customHeight="1" x14ac:dyDescent="0.25">
      <c r="A46" s="8" t="s">
        <v>44</v>
      </c>
      <c r="B46" s="4">
        <v>30</v>
      </c>
      <c r="C46" s="50">
        <v>25</v>
      </c>
      <c r="D46" s="4">
        <v>15</v>
      </c>
      <c r="E46" s="4">
        <v>10</v>
      </c>
      <c r="F46" s="50">
        <f t="shared" si="14"/>
        <v>0</v>
      </c>
      <c r="G46" s="50">
        <f t="shared" si="15"/>
        <v>35</v>
      </c>
      <c r="H46" s="4">
        <v>60</v>
      </c>
      <c r="I46" s="4">
        <v>2</v>
      </c>
      <c r="J46" s="4" t="s">
        <v>14</v>
      </c>
      <c r="K46" s="74">
        <f t="shared" si="3"/>
        <v>50</v>
      </c>
      <c r="L46" s="73">
        <f t="shared" si="4"/>
        <v>30</v>
      </c>
      <c r="M46" s="74">
        <f t="shared" si="5"/>
        <v>20</v>
      </c>
      <c r="N46" s="49" t="str">
        <f>IF(O46=""," ",VLOOKUP(O46,'[8]2012 личен състав ОТД'!$A:$AO,2,FALSE))</f>
        <v xml:space="preserve">   </v>
      </c>
      <c r="O46" s="48">
        <f>IF(A46=""," ",VLOOKUP(A46,'Български език и история'!A:O,15,FALSE))</f>
        <v>0</v>
      </c>
      <c r="P46" s="49">
        <f>IF(O46=""," ",VLOOKUP(O46,'[8]2012 личен състав ОТД'!$A:$AO,13,FALSE))</f>
        <v>0</v>
      </c>
      <c r="Q46" s="49">
        <f>IF(O46=""," ",VLOOKUP(O46,'[8]2012 личен състав ОТД'!$A:$AO,12,FALSE))</f>
        <v>0</v>
      </c>
      <c r="R46" t="str">
        <f>IF(A46=""," ",VLOOKUP(A46,'Профилиращ лист'!A:B,2,FALSE))</f>
        <v>СПЕ</v>
      </c>
      <c r="T46">
        <f t="shared" ca="1" si="13"/>
        <v>2013</v>
      </c>
    </row>
    <row r="47" spans="1:28" ht="15" customHeight="1" x14ac:dyDescent="0.25">
      <c r="A47" s="8"/>
      <c r="B47" s="9">
        <f>SUM(B37:B46)</f>
        <v>375</v>
      </c>
      <c r="C47" s="9">
        <f>SUM(C37:C46)</f>
        <v>232.5</v>
      </c>
      <c r="D47" s="9">
        <f t="shared" ref="D47:I47" si="16">SUM(D37:D46)</f>
        <v>170</v>
      </c>
      <c r="E47" s="9">
        <f t="shared" si="16"/>
        <v>55</v>
      </c>
      <c r="F47" s="9">
        <f>C47-D47-E47</f>
        <v>7.5</v>
      </c>
      <c r="G47" s="9">
        <f t="shared" si="16"/>
        <v>667.5</v>
      </c>
      <c r="H47" s="9">
        <f t="shared" si="16"/>
        <v>900</v>
      </c>
      <c r="I47" s="9">
        <f t="shared" si="16"/>
        <v>30</v>
      </c>
      <c r="J47" s="6"/>
      <c r="K47" s="74">
        <f t="shared" si="3"/>
        <v>0</v>
      </c>
      <c r="L47" s="73">
        <f t="shared" si="4"/>
        <v>0</v>
      </c>
      <c r="M47" s="74">
        <f t="shared" si="5"/>
        <v>0</v>
      </c>
      <c r="N47" s="49" t="e">
        <f>IF(O47=""," ",VLOOKUP(O47,'[8]2012 личен състав ОТД'!$A:$AO,2,FALSE))</f>
        <v>#N/A</v>
      </c>
      <c r="O47" s="48" t="str">
        <f>IF(A47=""," ",VLOOKUP(A47,'Български език и история'!A:O,15,FALSE))</f>
        <v xml:space="preserve"> </v>
      </c>
      <c r="P47" s="49" t="e">
        <f>IF(O47=""," ",VLOOKUP(O47,'[8]2012 личен състав ОТД'!$A:$AO,13,FALSE))</f>
        <v>#N/A</v>
      </c>
      <c r="Q47" s="49" t="e">
        <f>IF(O47=""," ",VLOOKUP(O47,'[8]2012 личен състав ОТД'!$A:$AO,12,FALSE))</f>
        <v>#N/A</v>
      </c>
      <c r="R47" t="str">
        <f>IF(A47=""," ",VLOOKUP(A47,'Профилиращ лист'!A:B,2,FALSE))</f>
        <v xml:space="preserve"> </v>
      </c>
      <c r="T47" t="e">
        <f t="shared" ca="1" si="13"/>
        <v>#N/A</v>
      </c>
    </row>
    <row r="48" spans="1:28" ht="15" customHeight="1" x14ac:dyDescent="0.25">
      <c r="A48" s="1" t="s">
        <v>81</v>
      </c>
      <c r="B48" s="1" t="s">
        <v>1</v>
      </c>
      <c r="C48" s="2" t="s">
        <v>2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2" t="s">
        <v>8</v>
      </c>
      <c r="J48" s="2" t="s">
        <v>9</v>
      </c>
      <c r="K48" s="74">
        <f t="shared" si="3"/>
        <v>0</v>
      </c>
      <c r="L48" s="73">
        <f t="shared" si="4"/>
        <v>0</v>
      </c>
      <c r="M48" s="74">
        <f t="shared" si="5"/>
        <v>0</v>
      </c>
      <c r="N48" s="49" t="str">
        <f>IF(O48=""," ",VLOOKUP(O48,'[8]2012 личен състав ОТД'!$A:$AO,2,FALSE))</f>
        <v>име, фамилия</v>
      </c>
      <c r="O48" s="48" t="str">
        <f>IF(A48=""," ",VLOOKUP(A48,'Български език и история'!A:O,15,FALSE))</f>
        <v>Код</v>
      </c>
      <c r="P48" s="49" t="str">
        <f>IF(O48=""," ",VLOOKUP(O48,'[8]2012 личен състав ОТД'!$A:$AO,13,FALSE))</f>
        <v>годинанараждане</v>
      </c>
      <c r="Q48" s="49" t="str">
        <f>IF(O48=""," ",VLOOKUP(O48,'[8]2012 личен състав ОТД'!$A:$AO,12,FALSE))</f>
        <v>ТРУД</v>
      </c>
      <c r="R48" t="str">
        <f>IF(A48=""," ",VLOOKUP(A48,'Профилиращ лист'!A:B,2,FALSE))</f>
        <v>Тип</v>
      </c>
      <c r="T48" t="e">
        <f t="shared" ca="1" si="13"/>
        <v>#VALUE!</v>
      </c>
    </row>
    <row r="49" spans="1:20" ht="15" customHeight="1" x14ac:dyDescent="0.25">
      <c r="A49" s="1" t="s">
        <v>46</v>
      </c>
      <c r="B49" s="1"/>
      <c r="C49" s="4"/>
      <c r="D49" s="4"/>
      <c r="E49" s="4"/>
      <c r="F49" s="4"/>
      <c r="G49" s="4"/>
      <c r="H49" s="4"/>
      <c r="I49" s="5"/>
      <c r="J49" s="6"/>
      <c r="K49" s="74">
        <f t="shared" si="3"/>
        <v>0</v>
      </c>
      <c r="L49" s="73">
        <f t="shared" si="4"/>
        <v>0</v>
      </c>
      <c r="M49" s="74">
        <f t="shared" si="5"/>
        <v>0</v>
      </c>
      <c r="N49" s="49" t="str">
        <f>IF(O49=""," ",VLOOKUP(O49,'[8]2012 личен състав ОТД'!$A:$AO,2,FALSE))</f>
        <v xml:space="preserve">   </v>
      </c>
      <c r="O49" s="48">
        <f>IF(A49=""," ",VLOOKUP(A49,'Български език и история'!A:O,15,FALSE))</f>
        <v>0</v>
      </c>
      <c r="P49" s="49">
        <f>IF(O49=""," ",VLOOKUP(O49,'[8]2012 личен състав ОТД'!$A:$AO,13,FALSE))</f>
        <v>0</v>
      </c>
      <c r="Q49" s="49">
        <f>IF(O49=""," ",VLOOKUP(O49,'[8]2012 личен състав ОТД'!$A:$AO,12,FALSE))</f>
        <v>0</v>
      </c>
      <c r="R49" t="e">
        <f>IF(A49=""," ",VLOOKUP(A49,'Профилиращ лист'!A:B,2,FALSE))</f>
        <v>#N/A</v>
      </c>
      <c r="T49">
        <f t="shared" ca="1" si="13"/>
        <v>2013</v>
      </c>
    </row>
    <row r="50" spans="1:20" ht="15" customHeight="1" x14ac:dyDescent="0.25">
      <c r="A50" s="8" t="s">
        <v>39</v>
      </c>
      <c r="B50" s="4">
        <v>30</v>
      </c>
      <c r="C50" s="50">
        <v>25</v>
      </c>
      <c r="D50" s="4">
        <v>15</v>
      </c>
      <c r="E50" s="4">
        <v>10</v>
      </c>
      <c r="F50" s="50">
        <f t="shared" ref="F50:F57" si="17">C50-D50-E50</f>
        <v>0</v>
      </c>
      <c r="G50" s="50">
        <f t="shared" ref="G50:G57" si="18">H50-C50</f>
        <v>65</v>
      </c>
      <c r="H50" s="4">
        <f>I50*30</f>
        <v>90</v>
      </c>
      <c r="I50" s="4">
        <v>3</v>
      </c>
      <c r="J50" s="4" t="s">
        <v>12</v>
      </c>
      <c r="K50" s="74">
        <f t="shared" si="3"/>
        <v>50</v>
      </c>
      <c r="L50" s="73">
        <f t="shared" si="4"/>
        <v>30</v>
      </c>
      <c r="M50" s="74">
        <f t="shared" si="5"/>
        <v>20</v>
      </c>
      <c r="N50" s="49" t="str">
        <f>IF(O50=""," ",VLOOKUP(O50,'[8]2012 личен състав ОТД'!$A:$AO,2,FALSE))</f>
        <v>доц. д-р Светла Черпокова-Захариева</v>
      </c>
      <c r="O50" s="48" t="s">
        <v>472</v>
      </c>
      <c r="P50" s="49">
        <f>IF(O50=""," ",VLOOKUP(O50,'[8]2012 личен състав ОТД'!$A:$AO,13,FALSE))</f>
        <v>1967</v>
      </c>
      <c r="Q50" s="49" t="str">
        <f>IF(O50=""," ",VLOOKUP(O50,'[8]2012 личен състав ОТД'!$A:$AO,12,FALSE))</f>
        <v>ОТД</v>
      </c>
      <c r="R50" t="str">
        <f>IF(A50=""," ",VLOOKUP(A50,'Профилиращ лист'!A:B,2,FALSE))</f>
        <v>СПЕ</v>
      </c>
      <c r="T50">
        <f t="shared" ca="1" si="13"/>
        <v>46</v>
      </c>
    </row>
    <row r="51" spans="1:20" ht="15" customHeight="1" x14ac:dyDescent="0.25">
      <c r="A51" s="8" t="s">
        <v>47</v>
      </c>
      <c r="B51" s="4">
        <v>30</v>
      </c>
      <c r="C51" s="50">
        <f>'Български език и история'!C52/2</f>
        <v>15</v>
      </c>
      <c r="D51" s="4">
        <v>15</v>
      </c>
      <c r="E51" s="4">
        <v>0</v>
      </c>
      <c r="F51" s="50">
        <f t="shared" si="17"/>
        <v>0</v>
      </c>
      <c r="G51" s="50">
        <f t="shared" si="18"/>
        <v>75</v>
      </c>
      <c r="H51" s="4">
        <v>90</v>
      </c>
      <c r="I51" s="4">
        <v>3</v>
      </c>
      <c r="J51" s="4" t="s">
        <v>14</v>
      </c>
      <c r="K51" s="74">
        <f t="shared" si="3"/>
        <v>45</v>
      </c>
      <c r="L51" s="73">
        <f t="shared" si="4"/>
        <v>30</v>
      </c>
      <c r="M51" s="74">
        <f t="shared" si="5"/>
        <v>15</v>
      </c>
      <c r="N51" s="49" t="str">
        <f>IF(O51=""," ",VLOOKUP(O51,'[8]2012 личен състав ОТД'!$A:$AO,2,FALSE))</f>
        <v xml:space="preserve">   </v>
      </c>
      <c r="O51" s="48">
        <f>IF(A51=""," ",VLOOKUP(A51,'Български език и история'!A:O,15,FALSE))</f>
        <v>0</v>
      </c>
      <c r="P51" s="49">
        <f>IF(O51=""," ",VLOOKUP(O51,'[8]2012 личен състав ОТД'!$A:$AO,13,FALSE))</f>
        <v>0</v>
      </c>
      <c r="Q51" s="49">
        <f>IF(O51=""," ",VLOOKUP(O51,'[8]2012 личен състав ОТД'!$A:$AO,12,FALSE))</f>
        <v>0</v>
      </c>
      <c r="R51" t="str">
        <f>IF(A51=""," ",VLOOKUP(A51,'Профилиращ лист'!A:B,2,FALSE))</f>
        <v>СПЕ</v>
      </c>
      <c r="T51">
        <f t="shared" ca="1" si="13"/>
        <v>2013</v>
      </c>
    </row>
    <row r="52" spans="1:20" ht="15" customHeight="1" x14ac:dyDescent="0.25">
      <c r="A52" s="8" t="s">
        <v>49</v>
      </c>
      <c r="B52" s="4">
        <v>45</v>
      </c>
      <c r="C52" s="50">
        <f>'Български език и история'!C53/2</f>
        <v>15</v>
      </c>
      <c r="D52" s="4">
        <v>15</v>
      </c>
      <c r="E52" s="4">
        <v>0</v>
      </c>
      <c r="F52" s="50">
        <f t="shared" si="17"/>
        <v>0</v>
      </c>
      <c r="G52" s="50">
        <f t="shared" si="18"/>
        <v>75</v>
      </c>
      <c r="H52" s="4">
        <v>90</v>
      </c>
      <c r="I52" s="4">
        <v>3</v>
      </c>
      <c r="J52" s="4" t="s">
        <v>14</v>
      </c>
      <c r="K52" s="74">
        <f t="shared" si="3"/>
        <v>40</v>
      </c>
      <c r="L52" s="73">
        <f t="shared" si="4"/>
        <v>30</v>
      </c>
      <c r="M52" s="74">
        <f t="shared" si="5"/>
        <v>10</v>
      </c>
      <c r="N52" s="49" t="str">
        <f>IF(O52=""," ",VLOOKUP(O52,'[8]2012 личен състав ОТД'!$A:$AO,2,FALSE))</f>
        <v xml:space="preserve">   </v>
      </c>
      <c r="O52" s="48">
        <f>IF(A52=""," ",VLOOKUP(A52,'Български език и история'!A:O,15,FALSE))</f>
        <v>0</v>
      </c>
      <c r="P52" s="49">
        <f>IF(O52=""," ",VLOOKUP(O52,'[8]2012 личен състав ОТД'!$A:$AO,13,FALSE))</f>
        <v>0</v>
      </c>
      <c r="Q52" s="49">
        <f>IF(O52=""," ",VLOOKUP(O52,'[8]2012 личен състав ОТД'!$A:$AO,12,FALSE))</f>
        <v>0</v>
      </c>
      <c r="R52" t="str">
        <f>IF(A52=""," ",VLOOKUP(A52,'Профилиращ лист'!A:B,2,FALSE))</f>
        <v>ОФД</v>
      </c>
      <c r="T52">
        <f t="shared" ca="1" si="13"/>
        <v>2013</v>
      </c>
    </row>
    <row r="53" spans="1:20" ht="15" customHeight="1" x14ac:dyDescent="0.25">
      <c r="A53" s="8" t="s">
        <v>98</v>
      </c>
      <c r="B53" s="8">
        <v>45</v>
      </c>
      <c r="C53" s="50">
        <v>25</v>
      </c>
      <c r="D53" s="4">
        <v>15</v>
      </c>
      <c r="E53" s="4">
        <v>10</v>
      </c>
      <c r="F53" s="50">
        <f t="shared" si="17"/>
        <v>0</v>
      </c>
      <c r="G53" s="50">
        <f t="shared" si="18"/>
        <v>95</v>
      </c>
      <c r="H53" s="4">
        <f>I53*30</f>
        <v>120</v>
      </c>
      <c r="I53" s="4">
        <v>4</v>
      </c>
      <c r="J53" s="4" t="s">
        <v>14</v>
      </c>
      <c r="K53" s="74">
        <f t="shared" si="3"/>
        <v>50</v>
      </c>
      <c r="L53" s="73">
        <f t="shared" si="4"/>
        <v>30</v>
      </c>
      <c r="M53" s="74">
        <f t="shared" si="5"/>
        <v>20</v>
      </c>
      <c r="N53" s="49" t="str">
        <f>IF(O53=""," ",VLOOKUP(O53,'[8]2012 личен състав ОТД'!$A:$AO,2,FALSE))</f>
        <v xml:space="preserve">   </v>
      </c>
      <c r="O53" s="48">
        <f>IF(A53=""," ",VLOOKUP(A53,'Български език и история'!A:O,15,FALSE))</f>
        <v>0</v>
      </c>
      <c r="P53" s="49">
        <f>IF(O53=""," ",VLOOKUP(O53,'[8]2012 личен състав ОТД'!$A:$AO,13,FALSE))</f>
        <v>0</v>
      </c>
      <c r="Q53" s="49">
        <f>IF(O53=""," ",VLOOKUP(O53,'[8]2012 личен състав ОТД'!$A:$AO,12,FALSE))</f>
        <v>0</v>
      </c>
      <c r="R53" t="str">
        <f>IF(A53=""," ",VLOOKUP(A53,'Профилиращ лист'!A:B,2,FALSE))</f>
        <v>ОИД</v>
      </c>
      <c r="T53">
        <f t="shared" ca="1" si="13"/>
        <v>2013</v>
      </c>
    </row>
    <row r="54" spans="1:20" ht="15" customHeight="1" x14ac:dyDescent="0.25">
      <c r="A54" s="8" t="s">
        <v>99</v>
      </c>
      <c r="B54" s="8">
        <v>60</v>
      </c>
      <c r="C54" s="50">
        <f>'Български език и история'!C55/2</f>
        <v>30</v>
      </c>
      <c r="D54" s="4">
        <v>15</v>
      </c>
      <c r="E54" s="4">
        <v>15</v>
      </c>
      <c r="F54" s="50">
        <f t="shared" si="17"/>
        <v>0</v>
      </c>
      <c r="G54" s="50">
        <f t="shared" si="18"/>
        <v>150</v>
      </c>
      <c r="H54" s="4">
        <f>I54*30</f>
        <v>180</v>
      </c>
      <c r="I54" s="4">
        <v>6</v>
      </c>
      <c r="J54" s="6" t="s">
        <v>12</v>
      </c>
      <c r="K54" s="74">
        <f t="shared" si="3"/>
        <v>30</v>
      </c>
      <c r="L54" s="73">
        <f t="shared" si="4"/>
        <v>15</v>
      </c>
      <c r="M54" s="74">
        <f t="shared" si="5"/>
        <v>15</v>
      </c>
      <c r="N54" s="49" t="str">
        <f>IF(O54=""," ",VLOOKUP(O54,'[8]2012 личен състав ОТД'!$A:$AO,2,FALSE))</f>
        <v>гл. ас. д-р Симеон Кацаров</v>
      </c>
      <c r="O54" s="48" t="str">
        <f>IF(A54=""," ",VLOOKUP(A54,'Български език и история'!A:O,15,FALSE))</f>
        <v>кацаров</v>
      </c>
      <c r="P54" s="49">
        <f>IF(O54=""," ",VLOOKUP(O54,'[8]2012 личен състав ОТД'!$A:$AO,13,FALSE))</f>
        <v>1968</v>
      </c>
      <c r="Q54" s="49" t="str">
        <f>IF(O54=""," ",VLOOKUP(O54,'[8]2012 личен състав ОТД'!$A:$AO,12,FALSE))</f>
        <v>ОТД</v>
      </c>
      <c r="R54" t="str">
        <f>IF(A54=""," ",VLOOKUP(A54,'Профилиращ лист'!A:B,2,FALSE))</f>
        <v>СПЕ</v>
      </c>
      <c r="T54">
        <f t="shared" ca="1" si="13"/>
        <v>45</v>
      </c>
    </row>
    <row r="55" spans="1:20" ht="15" customHeight="1" x14ac:dyDescent="0.25">
      <c r="A55" s="8" t="s">
        <v>100</v>
      </c>
      <c r="B55" s="8">
        <v>60</v>
      </c>
      <c r="C55" s="50">
        <f>'Български език и история'!C56/2</f>
        <v>30</v>
      </c>
      <c r="D55" s="4">
        <v>15</v>
      </c>
      <c r="E55" s="4">
        <v>15</v>
      </c>
      <c r="F55" s="50">
        <f t="shared" si="17"/>
        <v>0</v>
      </c>
      <c r="G55" s="50">
        <f t="shared" si="18"/>
        <v>150</v>
      </c>
      <c r="H55" s="4">
        <f>I55*30</f>
        <v>180</v>
      </c>
      <c r="I55" s="4">
        <v>6</v>
      </c>
      <c r="J55" s="4" t="s">
        <v>14</v>
      </c>
      <c r="K55" s="74">
        <f t="shared" si="3"/>
        <v>55</v>
      </c>
      <c r="L55" s="73">
        <f t="shared" si="4"/>
        <v>30</v>
      </c>
      <c r="M55" s="74">
        <f t="shared" si="5"/>
        <v>25</v>
      </c>
      <c r="N55" s="49" t="str">
        <f>IF(O55=""," ",VLOOKUP(O55,'[8]2012 личен състав ОТД'!$A:$AO,2,FALSE))</f>
        <v xml:space="preserve">   </v>
      </c>
      <c r="O55" s="48">
        <f>IF(A55=""," ",VLOOKUP(A55,'Български език и история'!A:O,15,FALSE))</f>
        <v>0</v>
      </c>
      <c r="P55" s="49">
        <f>IF(O55=""," ",VLOOKUP(O55,'[8]2012 личен състав ОТД'!$A:$AO,13,FALSE))</f>
        <v>0</v>
      </c>
      <c r="Q55" s="49">
        <f>IF(O55=""," ",VLOOKUP(O55,'[8]2012 личен състав ОТД'!$A:$AO,12,FALSE))</f>
        <v>0</v>
      </c>
      <c r="R55" t="str">
        <f>IF(A55=""," ",VLOOKUP(A55,'Профилиращ лист'!A:B,2,FALSE))</f>
        <v>ОИД</v>
      </c>
      <c r="T55">
        <f t="shared" ca="1" si="13"/>
        <v>2013</v>
      </c>
    </row>
    <row r="56" spans="1:20" ht="15.95" customHeight="1" x14ac:dyDescent="0.25">
      <c r="A56" s="8" t="s">
        <v>55</v>
      </c>
      <c r="B56" s="4">
        <v>30</v>
      </c>
      <c r="C56" s="50">
        <f>'Български език и история'!C57/2</f>
        <v>15</v>
      </c>
      <c r="D56" s="4">
        <v>15</v>
      </c>
      <c r="E56" s="4">
        <v>0</v>
      </c>
      <c r="F56" s="50">
        <f t="shared" si="17"/>
        <v>0</v>
      </c>
      <c r="G56" s="50">
        <f t="shared" si="18"/>
        <v>45</v>
      </c>
      <c r="H56" s="4">
        <v>60</v>
      </c>
      <c r="I56" s="4">
        <v>2</v>
      </c>
      <c r="J56" s="4" t="s">
        <v>18</v>
      </c>
      <c r="K56" s="74">
        <f t="shared" si="3"/>
        <v>15</v>
      </c>
      <c r="L56" s="73">
        <f t="shared" si="4"/>
        <v>15</v>
      </c>
      <c r="M56" s="74">
        <f t="shared" si="5"/>
        <v>0</v>
      </c>
      <c r="N56" s="49" t="str">
        <f>IF(O56=""," ",VLOOKUP(O56,'[8]2012 личен състав ОТД'!$A:$AO,2,FALSE))</f>
        <v xml:space="preserve">   </v>
      </c>
      <c r="O56" s="48">
        <f>IF(A56=""," ",VLOOKUP(A56,'Български език и история'!A:O,15,FALSE))</f>
        <v>0</v>
      </c>
      <c r="P56" s="49">
        <f>IF(O56=""," ",VLOOKUP(O56,'[8]2012 личен състав ОТД'!$A:$AO,13,FALSE))</f>
        <v>0</v>
      </c>
      <c r="Q56" s="49">
        <f>IF(O56=""," ",VLOOKUP(O56,'[8]2012 личен състав ОТД'!$A:$AO,12,FALSE))</f>
        <v>0</v>
      </c>
      <c r="R56" t="str">
        <f>IF(A56=""," ",VLOOKUP(A56,'Профилиращ лист'!A:B,2,FALSE))</f>
        <v>ФД</v>
      </c>
      <c r="T56">
        <f t="shared" ca="1" si="13"/>
        <v>2013</v>
      </c>
    </row>
    <row r="57" spans="1:20" ht="15" customHeight="1" x14ac:dyDescent="0.25">
      <c r="A57" s="8" t="s">
        <v>44</v>
      </c>
      <c r="B57" s="4">
        <v>45</v>
      </c>
      <c r="C57" s="50">
        <v>25</v>
      </c>
      <c r="D57" s="4">
        <v>15</v>
      </c>
      <c r="E57" s="4">
        <v>10</v>
      </c>
      <c r="F57" s="50">
        <f t="shared" si="17"/>
        <v>0</v>
      </c>
      <c r="G57" s="50">
        <f t="shared" si="18"/>
        <v>65</v>
      </c>
      <c r="H57" s="4">
        <v>90</v>
      </c>
      <c r="I57" s="4">
        <v>3</v>
      </c>
      <c r="J57" s="4" t="s">
        <v>12</v>
      </c>
      <c r="K57" s="74">
        <f t="shared" si="3"/>
        <v>50</v>
      </c>
      <c r="L57" s="73">
        <f t="shared" si="4"/>
        <v>30</v>
      </c>
      <c r="M57" s="74">
        <f t="shared" si="5"/>
        <v>20</v>
      </c>
      <c r="N57" s="49" t="str">
        <f>IF(O57=""," ",VLOOKUP(O57,'[8]2012 личен състав ОТД'!$A:$AO,2,FALSE))</f>
        <v>доц. д-р Константин Куцаров</v>
      </c>
      <c r="O57" s="48" t="s">
        <v>491</v>
      </c>
      <c r="P57" s="49">
        <f>IF(O57=""," ",VLOOKUP(O57,'[8]2012 личен състав ОТД'!$A:$AO,13,FALSE))</f>
        <v>1968</v>
      </c>
      <c r="Q57" s="49" t="str">
        <f>IF(O57=""," ",VLOOKUP(O57,'[8]2012 личен състав ОТД'!$A:$AO,12,FALSE))</f>
        <v>ОТД</v>
      </c>
      <c r="R57" t="str">
        <f>IF(A57=""," ",VLOOKUP(A57,'Профилиращ лист'!A:B,2,FALSE))</f>
        <v>СПЕ</v>
      </c>
      <c r="T57">
        <f t="shared" ca="1" si="13"/>
        <v>45</v>
      </c>
    </row>
    <row r="58" spans="1:20" ht="15" customHeight="1" x14ac:dyDescent="0.25">
      <c r="A58" s="8"/>
      <c r="B58" s="9">
        <f t="shared" ref="B58:I58" si="19">SUM(B50:B57)</f>
        <v>345</v>
      </c>
      <c r="C58" s="9">
        <f t="shared" si="19"/>
        <v>180</v>
      </c>
      <c r="D58" s="9">
        <f t="shared" si="19"/>
        <v>120</v>
      </c>
      <c r="E58" s="9">
        <f t="shared" si="19"/>
        <v>60</v>
      </c>
      <c r="F58" s="9">
        <f t="shared" si="19"/>
        <v>0</v>
      </c>
      <c r="G58" s="9">
        <f t="shared" si="19"/>
        <v>720</v>
      </c>
      <c r="H58" s="9">
        <f t="shared" si="19"/>
        <v>900</v>
      </c>
      <c r="I58" s="9">
        <f t="shared" si="19"/>
        <v>30</v>
      </c>
      <c r="J58" s="6"/>
      <c r="K58" s="74">
        <f t="shared" si="3"/>
        <v>0</v>
      </c>
      <c r="L58" s="73">
        <f t="shared" si="4"/>
        <v>0</v>
      </c>
      <c r="M58" s="74">
        <f t="shared" si="5"/>
        <v>0</v>
      </c>
      <c r="N58" s="49" t="e">
        <f>IF(O58=""," ",VLOOKUP(O58,'[8]2012 личен състав ОТД'!$A:$AO,2,FALSE))</f>
        <v>#N/A</v>
      </c>
      <c r="O58" s="48" t="str">
        <f>IF(A58=""," ",VLOOKUP(A58,'Български език и история'!A:O,15,FALSE))</f>
        <v xml:space="preserve"> </v>
      </c>
      <c r="P58" s="49" t="e">
        <f>IF(O58=""," ",VLOOKUP(O58,'[8]2012 личен състав ОТД'!$A:$AO,13,FALSE))</f>
        <v>#N/A</v>
      </c>
      <c r="Q58" s="49" t="e">
        <f>IF(O58=""," ",VLOOKUP(O58,'[8]2012 личен състав ОТД'!$A:$AO,12,FALSE))</f>
        <v>#N/A</v>
      </c>
      <c r="R58" t="str">
        <f>IF(A58=""," ",VLOOKUP(A58,'Профилиращ лист'!A:B,2,FALSE))</f>
        <v xml:space="preserve"> </v>
      </c>
      <c r="T58" t="e">
        <f t="shared" ca="1" si="13"/>
        <v>#N/A</v>
      </c>
    </row>
    <row r="59" spans="1:20" ht="15" customHeight="1" x14ac:dyDescent="0.25">
      <c r="A59" s="1" t="s">
        <v>51</v>
      </c>
      <c r="B59" s="1"/>
      <c r="C59" s="4"/>
      <c r="D59" s="4"/>
      <c r="E59" s="4"/>
      <c r="F59" s="4"/>
      <c r="G59" s="4"/>
      <c r="H59" s="4"/>
      <c r="I59" s="5"/>
      <c r="J59" s="6"/>
      <c r="K59" s="74">
        <f t="shared" si="3"/>
        <v>0</v>
      </c>
      <c r="L59" s="73">
        <f t="shared" si="4"/>
        <v>0</v>
      </c>
      <c r="M59" s="74">
        <f t="shared" si="5"/>
        <v>0</v>
      </c>
      <c r="N59" s="49" t="str">
        <f>IF(O59=""," ",VLOOKUP(O59,'[8]2012 личен състав ОТД'!$A:$AO,2,FALSE))</f>
        <v xml:space="preserve">   </v>
      </c>
      <c r="O59" s="48">
        <f>IF(A59=""," ",VLOOKUP(A59,'Български език и история'!A:O,15,FALSE))</f>
        <v>0</v>
      </c>
      <c r="P59" s="49">
        <f>IF(O59=""," ",VLOOKUP(O59,'[8]2012 личен състав ОТД'!$A:$AO,13,FALSE))</f>
        <v>0</v>
      </c>
      <c r="Q59" s="49">
        <f>IF(O59=""," ",VLOOKUP(O59,'[8]2012 личен състав ОТД'!$A:$AO,12,FALSE))</f>
        <v>0</v>
      </c>
      <c r="R59" t="e">
        <f>IF(A59=""," ",VLOOKUP(A59,'Профилиращ лист'!A:B,2,FALSE))</f>
        <v>#N/A</v>
      </c>
      <c r="T59">
        <f t="shared" ca="1" si="13"/>
        <v>2013</v>
      </c>
    </row>
    <row r="60" spans="1:20" ht="15" customHeight="1" x14ac:dyDescent="0.25">
      <c r="A60" s="8" t="s">
        <v>101</v>
      </c>
      <c r="B60" s="8">
        <v>30</v>
      </c>
      <c r="C60" s="50">
        <f>'Български език и история'!C61/2</f>
        <v>15</v>
      </c>
      <c r="D60" s="4">
        <v>15</v>
      </c>
      <c r="E60" s="4">
        <v>0</v>
      </c>
      <c r="F60" s="50">
        <f t="shared" ref="F60:F69" si="20">C60-D60-E60</f>
        <v>0</v>
      </c>
      <c r="G60" s="50">
        <f t="shared" ref="G60:G69" si="21">H60-C60</f>
        <v>75</v>
      </c>
      <c r="H60" s="4">
        <f>I60*30</f>
        <v>90</v>
      </c>
      <c r="I60" s="4">
        <v>3</v>
      </c>
      <c r="J60" s="6" t="s">
        <v>12</v>
      </c>
      <c r="K60" s="74">
        <f t="shared" si="3"/>
        <v>15</v>
      </c>
      <c r="L60" s="73">
        <f t="shared" si="4"/>
        <v>15</v>
      </c>
      <c r="M60" s="74">
        <f t="shared" si="5"/>
        <v>0</v>
      </c>
      <c r="N60" s="49" t="str">
        <f>IF(O60=""," ",VLOOKUP(O60,'[8]2012 личен състав ОТД'!$A:$AO,2,FALSE))</f>
        <v>гл. ас. д-р Симеон Кацаров</v>
      </c>
      <c r="O60" s="48" t="str">
        <f>IF(A60=""," ",VLOOKUP(A60,'Български език и история'!A:O,15,FALSE))</f>
        <v>кацаров</v>
      </c>
      <c r="P60" s="49">
        <f>IF(O60=""," ",VLOOKUP(O60,'[8]2012 личен състав ОТД'!$A:$AO,13,FALSE))</f>
        <v>1968</v>
      </c>
      <c r="Q60" s="49" t="str">
        <f>IF(O60=""," ",VLOOKUP(O60,'[8]2012 личен състав ОТД'!$A:$AO,12,FALSE))</f>
        <v>ОТД</v>
      </c>
      <c r="R60" t="str">
        <f>IF(A60=""," ",VLOOKUP(A60,'Профилиращ лист'!A:B,2,FALSE))</f>
        <v>СПЕ</v>
      </c>
      <c r="T60">
        <f t="shared" ca="1" si="13"/>
        <v>45</v>
      </c>
    </row>
    <row r="61" spans="1:20" ht="15" customHeight="1" x14ac:dyDescent="0.25">
      <c r="A61" s="8" t="s">
        <v>47</v>
      </c>
      <c r="B61" s="4">
        <v>45</v>
      </c>
      <c r="C61" s="50">
        <f>'Български език и история'!C62/2</f>
        <v>30</v>
      </c>
      <c r="D61" s="4">
        <v>15</v>
      </c>
      <c r="E61" s="4">
        <v>15</v>
      </c>
      <c r="F61" s="50">
        <f t="shared" si="20"/>
        <v>0</v>
      </c>
      <c r="G61" s="50">
        <f t="shared" si="21"/>
        <v>90</v>
      </c>
      <c r="H61" s="4">
        <v>120</v>
      </c>
      <c r="I61" s="4">
        <v>4</v>
      </c>
      <c r="J61" s="4" t="s">
        <v>12</v>
      </c>
      <c r="K61" s="74">
        <f t="shared" si="3"/>
        <v>45</v>
      </c>
      <c r="L61" s="73">
        <f t="shared" si="4"/>
        <v>30</v>
      </c>
      <c r="M61" s="74">
        <f t="shared" si="5"/>
        <v>15</v>
      </c>
      <c r="N61" s="49" t="str">
        <f>IF(O61=""," ",VLOOKUP(O61,'[8]2012 личен състав ОТД'!$A:$AO,2,FALSE))</f>
        <v>доц. д-р Живко Иванов</v>
      </c>
      <c r="O61" s="48" t="s">
        <v>474</v>
      </c>
      <c r="P61" s="49">
        <f>IF(O61=""," ",VLOOKUP(O61,'[8]2012 личен състав ОТД'!$A:$AO,13,FALSE))</f>
        <v>1957</v>
      </c>
      <c r="Q61" s="49" t="str">
        <f>IF(O61=""," ",VLOOKUP(O61,'[8]2012 личен състав ОТД'!$A:$AO,12,FALSE))</f>
        <v>ОТД</v>
      </c>
      <c r="R61" t="str">
        <f>IF(A61=""," ",VLOOKUP(A61,'Профилиращ лист'!A:B,2,FALSE))</f>
        <v>СПЕ</v>
      </c>
      <c r="T61">
        <f t="shared" ca="1" si="13"/>
        <v>56</v>
      </c>
    </row>
    <row r="62" spans="1:20" ht="15" customHeight="1" x14ac:dyDescent="0.25">
      <c r="A62" s="8" t="s">
        <v>49</v>
      </c>
      <c r="B62" s="4">
        <v>45</v>
      </c>
      <c r="C62" s="50">
        <v>25</v>
      </c>
      <c r="D62" s="4">
        <v>15</v>
      </c>
      <c r="E62" s="4">
        <v>10</v>
      </c>
      <c r="F62" s="50">
        <f t="shared" si="20"/>
        <v>0</v>
      </c>
      <c r="G62" s="50">
        <f t="shared" si="21"/>
        <v>95</v>
      </c>
      <c r="H62" s="4">
        <v>120</v>
      </c>
      <c r="I62" s="4">
        <v>4</v>
      </c>
      <c r="J62" s="4" t="s">
        <v>12</v>
      </c>
      <c r="K62" s="74">
        <f t="shared" si="3"/>
        <v>40</v>
      </c>
      <c r="L62" s="73">
        <f t="shared" si="4"/>
        <v>30</v>
      </c>
      <c r="M62" s="74">
        <f t="shared" si="5"/>
        <v>10</v>
      </c>
      <c r="N62" s="49" t="str">
        <f>IF(O62=""," ",VLOOKUP(O62,'[8]2012 личен състав ОТД'!$A:$AO,2,FALSE))</f>
        <v>доц. д-р Христина Тончева</v>
      </c>
      <c r="O62" s="48" t="s">
        <v>461</v>
      </c>
      <c r="P62" s="49">
        <f>IF(O62=""," ",VLOOKUP(O62,'[8]2012 личен състав ОТД'!$A:$AO,13,FALSE))</f>
        <v>1968</v>
      </c>
      <c r="Q62" s="49" t="str">
        <f>IF(O62=""," ",VLOOKUP(O62,'[8]2012 личен състав ОТД'!$A:$AO,12,FALSE))</f>
        <v>ОТД</v>
      </c>
      <c r="R62" t="str">
        <f>IF(A62=""," ",VLOOKUP(A62,'Профилиращ лист'!A:B,2,FALSE))</f>
        <v>ОФД</v>
      </c>
      <c r="T62">
        <f t="shared" ca="1" si="13"/>
        <v>45</v>
      </c>
    </row>
    <row r="63" spans="1:20" ht="15" customHeight="1" x14ac:dyDescent="0.25">
      <c r="A63" s="8" t="s">
        <v>98</v>
      </c>
      <c r="B63" s="8">
        <v>45</v>
      </c>
      <c r="C63" s="50">
        <v>25</v>
      </c>
      <c r="D63" s="4">
        <v>15</v>
      </c>
      <c r="E63" s="4">
        <v>10</v>
      </c>
      <c r="F63" s="50">
        <f t="shared" si="20"/>
        <v>0</v>
      </c>
      <c r="G63" s="50">
        <f t="shared" si="21"/>
        <v>65</v>
      </c>
      <c r="H63" s="4">
        <f>I63*30</f>
        <v>90</v>
      </c>
      <c r="I63" s="4">
        <v>3</v>
      </c>
      <c r="J63" s="6" t="s">
        <v>12</v>
      </c>
      <c r="K63" s="74">
        <f t="shared" si="3"/>
        <v>50</v>
      </c>
      <c r="L63" s="73">
        <f t="shared" si="4"/>
        <v>30</v>
      </c>
      <c r="M63" s="74">
        <f t="shared" si="5"/>
        <v>20</v>
      </c>
      <c r="N63" s="49" t="str">
        <f>IF(O63=""," ",VLOOKUP(O63,'[8]2012 личен състав ОТД'!$A:$AO,2,FALSE))</f>
        <v>гл. ас. д-р Румяна Комсалова</v>
      </c>
      <c r="O63" s="48" t="s">
        <v>463</v>
      </c>
      <c r="P63" s="49">
        <f>IF(O63=""," ",VLOOKUP(O63,'[8]2012 личен състав ОТД'!$A:$AO,13,FALSE))</f>
        <v>1954</v>
      </c>
      <c r="Q63" s="49" t="str">
        <f>IF(O63=""," ",VLOOKUP(O63,'[8]2012 личен състав ОТД'!$A:$AO,12,FALSE))</f>
        <v>ОТД</v>
      </c>
      <c r="R63" t="str">
        <f>IF(A63=""," ",VLOOKUP(A63,'Профилиращ лист'!A:B,2,FALSE))</f>
        <v>ОИД</v>
      </c>
      <c r="T63">
        <f t="shared" ca="1" si="13"/>
        <v>59</v>
      </c>
    </row>
    <row r="64" spans="1:20" ht="15" customHeight="1" x14ac:dyDescent="0.25">
      <c r="A64" s="8" t="s">
        <v>102</v>
      </c>
      <c r="B64" s="8">
        <v>60</v>
      </c>
      <c r="C64" s="50">
        <f>'Български език и история'!C65/2</f>
        <v>30</v>
      </c>
      <c r="D64" s="4">
        <v>15</v>
      </c>
      <c r="E64" s="4">
        <v>15</v>
      </c>
      <c r="F64" s="50">
        <f t="shared" si="20"/>
        <v>0</v>
      </c>
      <c r="G64" s="50">
        <f t="shared" si="21"/>
        <v>120</v>
      </c>
      <c r="H64" s="4">
        <f>I64*30</f>
        <v>150</v>
      </c>
      <c r="I64" s="4">
        <v>5</v>
      </c>
      <c r="J64" s="4" t="s">
        <v>14</v>
      </c>
      <c r="K64" s="74">
        <f t="shared" si="3"/>
        <v>30</v>
      </c>
      <c r="L64" s="73">
        <f t="shared" si="4"/>
        <v>15</v>
      </c>
      <c r="M64" s="74">
        <f t="shared" si="5"/>
        <v>15</v>
      </c>
      <c r="N64" s="49" t="str">
        <f>IF(O64=""," ",VLOOKUP(O64,'[8]2012 личен състав ОТД'!$A:$AO,2,FALSE))</f>
        <v xml:space="preserve">   </v>
      </c>
      <c r="O64" s="48">
        <f>IF(A64=""," ",VLOOKUP(A64,'Български език и история'!A:O,15,FALSE))</f>
        <v>0</v>
      </c>
      <c r="P64" s="49">
        <f>IF(O64=""," ",VLOOKUP(O64,'[8]2012 личен състав ОТД'!$A:$AO,13,FALSE))</f>
        <v>0</v>
      </c>
      <c r="Q64" s="49">
        <f>IF(O64=""," ",VLOOKUP(O64,'[8]2012 личен състав ОТД'!$A:$AO,12,FALSE))</f>
        <v>0</v>
      </c>
      <c r="R64" t="str">
        <f>IF(A64=""," ",VLOOKUP(A64,'Профилиращ лист'!A:B,2,FALSE))</f>
        <v>СПЕ</v>
      </c>
      <c r="T64">
        <f t="shared" ca="1" si="13"/>
        <v>2013</v>
      </c>
    </row>
    <row r="65" spans="1:20" ht="15" customHeight="1" x14ac:dyDescent="0.25">
      <c r="A65" s="8" t="s">
        <v>100</v>
      </c>
      <c r="B65" s="8">
        <v>45</v>
      </c>
      <c r="C65" s="50">
        <v>25</v>
      </c>
      <c r="D65" s="4">
        <v>15</v>
      </c>
      <c r="E65" s="4">
        <v>10</v>
      </c>
      <c r="F65" s="50">
        <f t="shared" si="20"/>
        <v>0</v>
      </c>
      <c r="G65" s="50">
        <f t="shared" si="21"/>
        <v>65</v>
      </c>
      <c r="H65" s="4">
        <f>I65*30</f>
        <v>90</v>
      </c>
      <c r="I65" s="4">
        <v>3</v>
      </c>
      <c r="J65" s="6" t="s">
        <v>12</v>
      </c>
      <c r="K65" s="74">
        <f t="shared" si="3"/>
        <v>55</v>
      </c>
      <c r="L65" s="73">
        <f t="shared" si="4"/>
        <v>30</v>
      </c>
      <c r="M65" s="74">
        <f t="shared" si="5"/>
        <v>25</v>
      </c>
      <c r="N65" s="49" t="str">
        <f>IF(O65=""," ",VLOOKUP(O65,'[8]2012 личен състав ОТД'!$A:$AO,2,FALSE))</f>
        <v>доц. д-р Иван Тодоров</v>
      </c>
      <c r="O65" s="48" t="s">
        <v>529</v>
      </c>
      <c r="P65" s="49">
        <f>IF(O65=""," ",VLOOKUP(O65,'[8]2012 личен състав ОТД'!$A:$AO,13,FALSE))</f>
        <v>0</v>
      </c>
      <c r="Q65" s="49" t="str">
        <f>IF(O65=""," ",VLOOKUP(O65,'[8]2012 личен състав ОТД'!$A:$AO,12,FALSE))</f>
        <v>ХОН</v>
      </c>
      <c r="R65" t="str">
        <f>IF(A65=""," ",VLOOKUP(A65,'Профилиращ лист'!A:B,2,FALSE))</f>
        <v>ОИД</v>
      </c>
      <c r="T65">
        <f t="shared" ca="1" si="13"/>
        <v>2013</v>
      </c>
    </row>
    <row r="66" spans="1:20" ht="15.95" customHeight="1" x14ac:dyDescent="0.25">
      <c r="A66" s="8" t="s">
        <v>72</v>
      </c>
      <c r="B66" s="4">
        <v>30</v>
      </c>
      <c r="C66" s="50">
        <f>'Български език и история'!C67/2</f>
        <v>15</v>
      </c>
      <c r="D66" s="4">
        <v>15</v>
      </c>
      <c r="E66" s="4">
        <v>0</v>
      </c>
      <c r="F66" s="50">
        <f t="shared" si="20"/>
        <v>0</v>
      </c>
      <c r="G66" s="50">
        <f t="shared" si="21"/>
        <v>45</v>
      </c>
      <c r="H66" s="4">
        <v>60</v>
      </c>
      <c r="I66" s="4">
        <v>2</v>
      </c>
      <c r="J66" s="4" t="s">
        <v>18</v>
      </c>
      <c r="K66" s="74">
        <f t="shared" si="3"/>
        <v>15</v>
      </c>
      <c r="L66" s="73">
        <f t="shared" si="4"/>
        <v>15</v>
      </c>
      <c r="M66" s="74">
        <f t="shared" si="5"/>
        <v>0</v>
      </c>
      <c r="N66" s="49" t="str">
        <f>IF(O66=""," ",VLOOKUP(O66,'[8]2012 личен състав ОТД'!$A:$AO,2,FALSE))</f>
        <v xml:space="preserve">   </v>
      </c>
      <c r="O66" s="48">
        <f>IF(A66=""," ",VLOOKUP(A66,'Български език и история'!A:O,15,FALSE))</f>
        <v>0</v>
      </c>
      <c r="P66" s="49">
        <f>IF(O66=""," ",VLOOKUP(O66,'[8]2012 личен състав ОТД'!$A:$AO,13,FALSE))</f>
        <v>0</v>
      </c>
      <c r="Q66" s="49">
        <f>IF(O66=""," ",VLOOKUP(O66,'[8]2012 личен състав ОТД'!$A:$AO,12,FALSE))</f>
        <v>0</v>
      </c>
      <c r="R66" t="str">
        <f>IF(A66=""," ",VLOOKUP(A66,'Профилиращ лист'!A:B,2,FALSE))</f>
        <v>ФД</v>
      </c>
      <c r="T66">
        <f t="shared" ca="1" si="13"/>
        <v>2013</v>
      </c>
    </row>
    <row r="67" spans="1:20" ht="15" customHeight="1" x14ac:dyDescent="0.25">
      <c r="A67" s="8" t="s">
        <v>54</v>
      </c>
      <c r="B67" s="4">
        <v>30</v>
      </c>
      <c r="C67" s="50">
        <f>'Български език и история'!C68/2</f>
        <v>15</v>
      </c>
      <c r="D67" s="4">
        <v>15</v>
      </c>
      <c r="E67" s="4">
        <v>0</v>
      </c>
      <c r="F67" s="50">
        <f t="shared" si="20"/>
        <v>0</v>
      </c>
      <c r="G67" s="50">
        <f t="shared" si="21"/>
        <v>45</v>
      </c>
      <c r="H67" s="4">
        <v>60</v>
      </c>
      <c r="I67" s="4">
        <v>2</v>
      </c>
      <c r="J67" s="4" t="s">
        <v>14</v>
      </c>
      <c r="K67" s="74">
        <f t="shared" si="3"/>
        <v>37.5</v>
      </c>
      <c r="L67" s="73">
        <f t="shared" si="4"/>
        <v>25</v>
      </c>
      <c r="M67" s="74">
        <f t="shared" si="5"/>
        <v>12.5</v>
      </c>
      <c r="N67" s="49" t="str">
        <f>IF(O67=""," ",VLOOKUP(O67,'[8]2012 личен състав ОТД'!$A:$AO,2,FALSE))</f>
        <v xml:space="preserve">   </v>
      </c>
      <c r="O67" s="48">
        <f>IF(A67=""," ",VLOOKUP(A67,'Български език и история'!A:O,15,FALSE))</f>
        <v>0</v>
      </c>
      <c r="P67" s="49">
        <f>IF(O67=""," ",VLOOKUP(O67,'[8]2012 личен състав ОТД'!$A:$AO,13,FALSE))</f>
        <v>0</v>
      </c>
      <c r="Q67" s="49">
        <f>IF(O67=""," ",VLOOKUP(O67,'[8]2012 личен състав ОТД'!$A:$AO,12,FALSE))</f>
        <v>0</v>
      </c>
      <c r="R67" t="str">
        <f>IF(A67=""," ",VLOOKUP(A67,'Профилиращ лист'!A:B,2,FALSE))</f>
        <v>СПЕ</v>
      </c>
      <c r="T67">
        <f t="shared" ref="T67:T95" ca="1" si="22">Години-P67</f>
        <v>2013</v>
      </c>
    </row>
    <row r="68" spans="1:20" ht="15" customHeight="1" x14ac:dyDescent="0.25">
      <c r="A68" s="8" t="s">
        <v>103</v>
      </c>
      <c r="B68" s="8">
        <v>15</v>
      </c>
      <c r="C68" s="50">
        <v>10</v>
      </c>
      <c r="D68" s="4">
        <v>0</v>
      </c>
      <c r="E68" s="4">
        <v>0</v>
      </c>
      <c r="F68" s="50">
        <f t="shared" si="20"/>
        <v>10</v>
      </c>
      <c r="G68" s="50">
        <f t="shared" si="21"/>
        <v>50</v>
      </c>
      <c r="H68" s="4">
        <f>I68*30</f>
        <v>60</v>
      </c>
      <c r="I68" s="4">
        <v>2</v>
      </c>
      <c r="J68" s="4" t="s">
        <v>18</v>
      </c>
      <c r="K68" s="74">
        <f t="shared" ref="K68:K109" si="23">SUMIF(A:A,A68,C:C)</f>
        <v>10</v>
      </c>
      <c r="L68" s="73">
        <f t="shared" ref="L68:L109" si="24">SUMIF(A:A,A68,D:D)</f>
        <v>0</v>
      </c>
      <c r="M68" s="74">
        <f t="shared" ref="M68:M109" si="25">SUMIF(A:A,A68,E:E)+SUMIF(A:A,A68,F:F)</f>
        <v>10</v>
      </c>
      <c r="N68" s="49" t="str">
        <f>IF(O68=""," ",VLOOKUP(O68,'[8]2012 личен състав ОТД'!$A:$AO,2,FALSE))</f>
        <v xml:space="preserve">   </v>
      </c>
      <c r="O68" s="48">
        <f>IF(A68=""," ",VLOOKUP(A68,'Български език и история'!A:O,15,FALSE))</f>
        <v>0</v>
      </c>
      <c r="P68" s="49">
        <f>IF(O68=""," ",VLOOKUP(O68,'[8]2012 личен състав ОТД'!$A:$AO,13,FALSE))</f>
        <v>0</v>
      </c>
      <c r="Q68" s="49">
        <f>IF(O68=""," ",VLOOKUP(O68,'[8]2012 личен състав ОТД'!$A:$AO,12,FALSE))</f>
        <v>0</v>
      </c>
      <c r="R68" t="str">
        <f>IF(A68=""," ",VLOOKUP(A68,'Профилиращ лист'!A:B,2,FALSE))</f>
        <v>ПРА</v>
      </c>
      <c r="T68">
        <f t="shared" ca="1" si="22"/>
        <v>2013</v>
      </c>
    </row>
    <row r="69" spans="1:20" ht="15" customHeight="1" x14ac:dyDescent="0.25">
      <c r="A69" s="8" t="s">
        <v>57</v>
      </c>
      <c r="B69" s="4">
        <v>15</v>
      </c>
      <c r="C69" s="50">
        <f>'Български език и история'!C70/2</f>
        <v>15</v>
      </c>
      <c r="D69" s="4">
        <v>15</v>
      </c>
      <c r="E69" s="4">
        <v>0</v>
      </c>
      <c r="F69" s="50">
        <f t="shared" si="20"/>
        <v>0</v>
      </c>
      <c r="G69" s="50">
        <f t="shared" si="21"/>
        <v>45</v>
      </c>
      <c r="H69" s="4">
        <v>60</v>
      </c>
      <c r="I69" s="4">
        <v>2</v>
      </c>
      <c r="J69" s="4" t="s">
        <v>18</v>
      </c>
      <c r="K69" s="74">
        <f t="shared" si="23"/>
        <v>15</v>
      </c>
      <c r="L69" s="73">
        <f t="shared" si="24"/>
        <v>15</v>
      </c>
      <c r="M69" s="74">
        <f t="shared" si="25"/>
        <v>0</v>
      </c>
      <c r="N69" s="49" t="str">
        <f>IF(O69=""," ",VLOOKUP(O69,'[8]2012 личен състав ОТД'!$A:$AO,2,FALSE))</f>
        <v>гл. ас.  Фани Бойкова</v>
      </c>
      <c r="O69" s="48" t="s">
        <v>530</v>
      </c>
      <c r="P69" s="49">
        <f>IF(O69=""," ",VLOOKUP(O69,'[8]2012 личен състав ОТД'!$A:$AO,13,FALSE))</f>
        <v>1964</v>
      </c>
      <c r="Q69" s="49" t="str">
        <f>IF(O69=""," ",VLOOKUP(O69,'[8]2012 личен състав ОТД'!$A:$AO,12,FALSE))</f>
        <v>ОТД</v>
      </c>
      <c r="R69" t="str">
        <f>IF(A69=""," ",VLOOKUP(A69,'Профилиращ лист'!A:B,2,FALSE))</f>
        <v>ПЕД</v>
      </c>
      <c r="T69">
        <f t="shared" ca="1" si="22"/>
        <v>49</v>
      </c>
    </row>
    <row r="70" spans="1:20" ht="15" customHeight="1" x14ac:dyDescent="0.25">
      <c r="A70" s="8"/>
      <c r="B70" s="9">
        <f>SUM(B60:B69)</f>
        <v>360</v>
      </c>
      <c r="C70" s="9">
        <f>SUM(C60:C69)</f>
        <v>205</v>
      </c>
      <c r="D70" s="9">
        <f t="shared" ref="D70:I70" si="26">SUM(D60:D69)</f>
        <v>135</v>
      </c>
      <c r="E70" s="9">
        <f t="shared" si="26"/>
        <v>60</v>
      </c>
      <c r="F70" s="9">
        <f t="shared" si="26"/>
        <v>10</v>
      </c>
      <c r="G70" s="9">
        <f t="shared" si="26"/>
        <v>695</v>
      </c>
      <c r="H70" s="9">
        <f t="shared" si="26"/>
        <v>900</v>
      </c>
      <c r="I70" s="9">
        <f t="shared" si="26"/>
        <v>30</v>
      </c>
      <c r="J70" s="6"/>
      <c r="K70" s="74">
        <f t="shared" si="23"/>
        <v>0</v>
      </c>
      <c r="L70" s="73">
        <f t="shared" si="24"/>
        <v>0</v>
      </c>
      <c r="M70" s="74">
        <f t="shared" si="25"/>
        <v>0</v>
      </c>
      <c r="N70" s="49" t="e">
        <f>IF(O70=""," ",VLOOKUP(O70,'[8]2012 личен състав ОТД'!$A:$AO,2,FALSE))</f>
        <v>#N/A</v>
      </c>
      <c r="O70" s="48" t="str">
        <f>IF(A70=""," ",VLOOKUP(A70,'Български език и история'!A:O,15,FALSE))</f>
        <v xml:space="preserve"> </v>
      </c>
      <c r="P70" s="49" t="e">
        <f>IF(O70=""," ",VLOOKUP(O70,'[8]2012 личен състав ОТД'!$A:$AO,13,FALSE))</f>
        <v>#N/A</v>
      </c>
      <c r="Q70" s="49" t="e">
        <f>IF(O70=""," ",VLOOKUP(O70,'[8]2012 личен състав ОТД'!$A:$AO,12,FALSE))</f>
        <v>#N/A</v>
      </c>
      <c r="R70" t="str">
        <f>IF(A70=""," ",VLOOKUP(A70,'Профилиращ лист'!A:B,2,FALSE))</f>
        <v xml:space="preserve"> </v>
      </c>
      <c r="T70" t="e">
        <f t="shared" ca="1" si="22"/>
        <v>#N/A</v>
      </c>
    </row>
    <row r="71" spans="1:20" ht="15" customHeight="1" x14ac:dyDescent="0.25">
      <c r="A71" s="1" t="s">
        <v>59</v>
      </c>
      <c r="B71" s="1"/>
      <c r="C71" s="4"/>
      <c r="D71" s="4"/>
      <c r="E71" s="4"/>
      <c r="F71" s="4"/>
      <c r="G71" s="4"/>
      <c r="H71" s="4"/>
      <c r="I71" s="5"/>
      <c r="J71" s="6"/>
      <c r="K71" s="74">
        <f t="shared" si="23"/>
        <v>0</v>
      </c>
      <c r="L71" s="73">
        <f t="shared" si="24"/>
        <v>0</v>
      </c>
      <c r="M71" s="74">
        <f t="shared" si="25"/>
        <v>0</v>
      </c>
      <c r="N71" s="49" t="str">
        <f>IF(O71=""," ",VLOOKUP(O71,'[8]2012 личен състав ОТД'!$A:$AO,2,FALSE))</f>
        <v xml:space="preserve">   </v>
      </c>
      <c r="O71" s="48">
        <f>IF(A71=""," ",VLOOKUP(A71,'Български език и история'!A:O,15,FALSE))</f>
        <v>0</v>
      </c>
      <c r="P71" s="49">
        <f>IF(O71=""," ",VLOOKUP(O71,'[8]2012 личен състав ОТД'!$A:$AO,13,FALSE))</f>
        <v>0</v>
      </c>
      <c r="Q71" s="49">
        <f>IF(O71=""," ",VLOOKUP(O71,'[8]2012 личен състав ОТД'!$A:$AO,12,FALSE))</f>
        <v>0</v>
      </c>
      <c r="R71" t="e">
        <f>IF(A71=""," ",VLOOKUP(A71,'Профилиращ лист'!A:B,2,FALSE))</f>
        <v>#N/A</v>
      </c>
      <c r="T71">
        <f t="shared" ca="1" si="22"/>
        <v>2013</v>
      </c>
    </row>
    <row r="72" spans="1:20" x14ac:dyDescent="0.25">
      <c r="A72" s="8" t="s">
        <v>62</v>
      </c>
      <c r="B72" s="4">
        <v>45</v>
      </c>
      <c r="C72" s="50">
        <v>25</v>
      </c>
      <c r="D72" s="4">
        <v>25</v>
      </c>
      <c r="E72" s="4">
        <v>0</v>
      </c>
      <c r="F72" s="50">
        <f t="shared" ref="F72:F80" si="27">C72-D72-E72</f>
        <v>0</v>
      </c>
      <c r="G72" s="50">
        <f t="shared" ref="G72:G80" si="28">H72-C72</f>
        <v>65</v>
      </c>
      <c r="H72" s="4">
        <f>I72*30</f>
        <v>90</v>
      </c>
      <c r="I72" s="4">
        <v>3</v>
      </c>
      <c r="J72" s="4" t="s">
        <v>14</v>
      </c>
      <c r="K72" s="74">
        <f t="shared" si="23"/>
        <v>50</v>
      </c>
      <c r="L72" s="73">
        <f t="shared" si="24"/>
        <v>50</v>
      </c>
      <c r="M72" s="74">
        <f t="shared" si="25"/>
        <v>0</v>
      </c>
      <c r="N72" s="49" t="str">
        <f>IF(O72=""," ",VLOOKUP(O72,'[8]2012 личен състав ОТД'!$A:$AO,2,FALSE))</f>
        <v xml:space="preserve">   </v>
      </c>
      <c r="O72" s="48">
        <f>IF(A72=""," ",VLOOKUP(A72,'Български език и история'!A:O,15,FALSE))</f>
        <v>0</v>
      </c>
      <c r="P72" s="49">
        <f>IF(O72=""," ",VLOOKUP(O72,'[8]2012 личен състав ОТД'!$A:$AO,13,FALSE))</f>
        <v>0</v>
      </c>
      <c r="Q72" s="49">
        <f>IF(O72=""," ",VLOOKUP(O72,'[8]2012 личен състав ОТД'!$A:$AO,12,FALSE))</f>
        <v>0</v>
      </c>
      <c r="R72" t="str">
        <f>IF(A72=""," ",VLOOKUP(A72,'Профилиращ лист'!A:B,2,FALSE))</f>
        <v>СПЕ</v>
      </c>
      <c r="T72">
        <f t="shared" ca="1" si="22"/>
        <v>2013</v>
      </c>
    </row>
    <row r="73" spans="1:20" ht="15" customHeight="1" x14ac:dyDescent="0.25">
      <c r="A73" s="8" t="s">
        <v>104</v>
      </c>
      <c r="B73" s="8">
        <v>60</v>
      </c>
      <c r="C73" s="50">
        <f>'Български език и история'!C74/2</f>
        <v>30</v>
      </c>
      <c r="D73" s="4">
        <v>15</v>
      </c>
      <c r="E73" s="4">
        <v>15</v>
      </c>
      <c r="F73" s="50">
        <f t="shared" si="27"/>
        <v>0</v>
      </c>
      <c r="G73" s="50">
        <f t="shared" si="28"/>
        <v>150</v>
      </c>
      <c r="H73" s="4">
        <f>I73*30</f>
        <v>180</v>
      </c>
      <c r="I73" s="4">
        <v>6</v>
      </c>
      <c r="J73" s="6" t="s">
        <v>12</v>
      </c>
      <c r="K73" s="74">
        <f t="shared" si="23"/>
        <v>30</v>
      </c>
      <c r="L73" s="73">
        <f t="shared" si="24"/>
        <v>15</v>
      </c>
      <c r="M73" s="74">
        <f t="shared" si="25"/>
        <v>15</v>
      </c>
      <c r="N73" s="49" t="str">
        <f>IF(O73=""," ",VLOOKUP(O73,'[8]2012 личен състав ОТД'!$A:$AO,2,FALSE))</f>
        <v>проф. д.и.н. Людмил Спасов</v>
      </c>
      <c r="O73" s="48" t="str">
        <f>IF(A73=""," ",VLOOKUP(A73,'Български език и история'!A:O,15,FALSE))</f>
        <v>лспасов</v>
      </c>
      <c r="P73" s="49">
        <f>IF(O73=""," ",VLOOKUP(O73,'[8]2012 личен състав ОТД'!$A:$AO,13,FALSE))</f>
        <v>1948</v>
      </c>
      <c r="Q73" s="49" t="str">
        <f>IF(O73=""," ",VLOOKUP(O73,'[8]2012 личен състав ОТД'!$A:$AO,12,FALSE))</f>
        <v>ОТД</v>
      </c>
      <c r="R73" t="str">
        <f>IF(A73=""," ",VLOOKUP(A73,'Профилиращ лист'!A:B,2,FALSE))</f>
        <v>СПЕ</v>
      </c>
      <c r="T73">
        <f t="shared" ca="1" si="22"/>
        <v>65</v>
      </c>
    </row>
    <row r="74" spans="1:20" ht="15" customHeight="1" x14ac:dyDescent="0.25">
      <c r="A74" s="8" t="s">
        <v>64</v>
      </c>
      <c r="B74" s="4">
        <v>15</v>
      </c>
      <c r="C74" s="50">
        <v>10</v>
      </c>
      <c r="D74" s="4">
        <v>10</v>
      </c>
      <c r="E74" s="4">
        <v>0</v>
      </c>
      <c r="F74" s="50">
        <f t="shared" si="27"/>
        <v>0</v>
      </c>
      <c r="G74" s="50">
        <f t="shared" si="28"/>
        <v>80</v>
      </c>
      <c r="H74" s="4">
        <v>90</v>
      </c>
      <c r="I74" s="4">
        <v>3</v>
      </c>
      <c r="J74" s="4" t="s">
        <v>12</v>
      </c>
      <c r="K74" s="74">
        <f t="shared" si="23"/>
        <v>10</v>
      </c>
      <c r="L74" s="73">
        <f t="shared" si="24"/>
        <v>10</v>
      </c>
      <c r="M74" s="74">
        <f t="shared" si="25"/>
        <v>0</v>
      </c>
      <c r="N74" s="49" t="str">
        <f>IF(O74=""," ",VLOOKUP(O74,'[8]2012 личен състав ОТД'!$A:$AO,2,FALSE))</f>
        <v>доц. д-р Соня Спилкова</v>
      </c>
      <c r="O74" s="48" t="str">
        <f>IF(A74=""," ",VLOOKUP(A74,'Български език и история'!A:O,15,FALSE))</f>
        <v>спилкова</v>
      </c>
      <c r="P74" s="49">
        <f>IF(O74=""," ",VLOOKUP(O74,'[8]2012 личен състав ОТД'!$A:$AO,13,FALSE))</f>
        <v>1952</v>
      </c>
      <c r="Q74" s="49" t="str">
        <f>IF(O74=""," ",VLOOKUP(O74,'[8]2012 личен състав ОТД'!$A:$AO,12,FALSE))</f>
        <v>ОТД</v>
      </c>
      <c r="R74" t="str">
        <f>IF(A74=""," ",VLOOKUP(A74,'Профилиращ лист'!A:B,2,FALSE))</f>
        <v>ПЕД</v>
      </c>
      <c r="T74">
        <f t="shared" ca="1" si="22"/>
        <v>61</v>
      </c>
    </row>
    <row r="75" spans="1:20" ht="15" customHeight="1" x14ac:dyDescent="0.25">
      <c r="A75" s="8" t="s">
        <v>65</v>
      </c>
      <c r="B75" s="4">
        <v>15</v>
      </c>
      <c r="C75" s="50">
        <v>10</v>
      </c>
      <c r="D75" s="4">
        <v>10</v>
      </c>
      <c r="E75" s="4">
        <v>0</v>
      </c>
      <c r="F75" s="50">
        <f t="shared" si="27"/>
        <v>0</v>
      </c>
      <c r="G75" s="50">
        <f t="shared" si="28"/>
        <v>80</v>
      </c>
      <c r="H75" s="4">
        <v>90</v>
      </c>
      <c r="I75" s="4">
        <v>3</v>
      </c>
      <c r="J75" s="4" t="s">
        <v>12</v>
      </c>
      <c r="K75" s="74">
        <f t="shared" si="23"/>
        <v>10</v>
      </c>
      <c r="L75" s="73">
        <f t="shared" si="24"/>
        <v>10</v>
      </c>
      <c r="M75" s="74">
        <f t="shared" si="25"/>
        <v>0</v>
      </c>
      <c r="N75" s="49" t="str">
        <f>IF(O75=""," ",VLOOKUP(O75,'[8]2012 личен състав ОТД'!$A:$AO,2,FALSE))</f>
        <v>доц. д-р Пенка Гарушева-Карамалакова</v>
      </c>
      <c r="O75" s="48" t="str">
        <f>IF(A75=""," ",VLOOKUP(A75,'Български език и история'!A:O,15,FALSE))</f>
        <v>гарушева</v>
      </c>
      <c r="P75" s="49">
        <f>IF(O75=""," ",VLOOKUP(O75,'[8]2012 личен състав ОТД'!$A:$AO,13,FALSE))</f>
        <v>1947</v>
      </c>
      <c r="Q75" s="49" t="str">
        <f>IF(O75=""," ",VLOOKUP(O75,'[8]2012 личен състав ОТД'!$A:$AO,12,FALSE))</f>
        <v>ОТД</v>
      </c>
      <c r="R75" t="str">
        <f>IF(A75=""," ",VLOOKUP(A75,'Профилиращ лист'!A:B,2,FALSE))</f>
        <v>ПЕД</v>
      </c>
      <c r="T75">
        <f t="shared" ca="1" si="22"/>
        <v>66</v>
      </c>
    </row>
    <row r="76" spans="1:20" ht="15" customHeight="1" x14ac:dyDescent="0.25">
      <c r="A76" s="8" t="s">
        <v>105</v>
      </c>
      <c r="B76" s="8">
        <v>30</v>
      </c>
      <c r="C76" s="50">
        <f>'Български език и история'!C77/2</f>
        <v>15</v>
      </c>
      <c r="D76" s="4">
        <v>15</v>
      </c>
      <c r="E76" s="4">
        <v>0</v>
      </c>
      <c r="F76" s="50">
        <f t="shared" si="27"/>
        <v>0</v>
      </c>
      <c r="G76" s="50">
        <f t="shared" si="28"/>
        <v>105</v>
      </c>
      <c r="H76" s="4">
        <f>I76*30</f>
        <v>120</v>
      </c>
      <c r="I76" s="4">
        <v>4</v>
      </c>
      <c r="J76" s="6" t="s">
        <v>12</v>
      </c>
      <c r="K76" s="74">
        <f t="shared" si="23"/>
        <v>15</v>
      </c>
      <c r="L76" s="73">
        <f t="shared" si="24"/>
        <v>15</v>
      </c>
      <c r="M76" s="74">
        <f t="shared" si="25"/>
        <v>0</v>
      </c>
      <c r="N76" s="49" t="str">
        <f>IF(O76=""," ",VLOOKUP(O76,'[8]2012 личен състав ОТД'!$A:$AO,2,FALSE))</f>
        <v>доц. д-р Иван Джамбов</v>
      </c>
      <c r="O76" s="48" t="str">
        <f>IF(A76=""," ",VLOOKUP(A76,'Български език и история'!A:O,15,FALSE))</f>
        <v>джамбов</v>
      </c>
      <c r="P76" s="49">
        <f>IF(O76=""," ",VLOOKUP(O76,'[8]2012 личен състав ОТД'!$A:$AO,13,FALSE))</f>
        <v>1949</v>
      </c>
      <c r="Q76" s="49" t="str">
        <f>IF(O76=""," ",VLOOKUP(O76,'[8]2012 личен състав ОТД'!$A:$AO,12,FALSE))</f>
        <v>ОТД</v>
      </c>
      <c r="R76" t="str">
        <f>IF(A76=""," ",VLOOKUP(A76,'Профилиращ лист'!A:B,2,FALSE))</f>
        <v>ПЕД</v>
      </c>
      <c r="T76">
        <f t="shared" ca="1" si="22"/>
        <v>64</v>
      </c>
    </row>
    <row r="77" spans="1:20" ht="15" customHeight="1" x14ac:dyDescent="0.25">
      <c r="A77" s="8" t="s">
        <v>54</v>
      </c>
      <c r="B77" s="4">
        <v>30</v>
      </c>
      <c r="C77" s="50">
        <f>'Български език и история'!C78/2</f>
        <v>22.5</v>
      </c>
      <c r="D77" s="4">
        <v>10</v>
      </c>
      <c r="E77" s="4">
        <v>5</v>
      </c>
      <c r="F77" s="50">
        <f t="shared" si="27"/>
        <v>7.5</v>
      </c>
      <c r="G77" s="50">
        <f t="shared" si="28"/>
        <v>37.5</v>
      </c>
      <c r="H77" s="4">
        <v>60</v>
      </c>
      <c r="I77" s="4">
        <v>2</v>
      </c>
      <c r="J77" s="4" t="s">
        <v>12</v>
      </c>
      <c r="K77" s="74">
        <f t="shared" si="23"/>
        <v>37.5</v>
      </c>
      <c r="L77" s="73">
        <f t="shared" si="24"/>
        <v>25</v>
      </c>
      <c r="M77" s="74">
        <f t="shared" si="25"/>
        <v>12.5</v>
      </c>
      <c r="N77" s="49" t="str">
        <f>IF(O77=""," ",VLOOKUP(O77,'[8]2012 личен състав ОТД'!$A:$AO,2,FALSE))</f>
        <v>доц. д-р Петя Бъркалова</v>
      </c>
      <c r="O77" s="48" t="s">
        <v>479</v>
      </c>
      <c r="P77" s="49">
        <f>IF(O77=""," ",VLOOKUP(O77,'[8]2012 личен състав ОТД'!$A:$AO,13,FALSE))</f>
        <v>1956</v>
      </c>
      <c r="Q77" s="49" t="str">
        <f>IF(O77=""," ",VLOOKUP(O77,'[8]2012 личен състав ОТД'!$A:$AO,12,FALSE))</f>
        <v>ОТД</v>
      </c>
      <c r="R77" t="str">
        <f>IF(A77=""," ",VLOOKUP(A77,'Профилиращ лист'!A:B,2,FALSE))</f>
        <v>СПЕ</v>
      </c>
      <c r="T77">
        <f t="shared" ca="1" si="22"/>
        <v>57</v>
      </c>
    </row>
    <row r="78" spans="1:20" ht="15" customHeight="1" x14ac:dyDescent="0.25">
      <c r="A78" s="8" t="s">
        <v>106</v>
      </c>
      <c r="B78" s="8">
        <v>45</v>
      </c>
      <c r="C78" s="50">
        <v>25</v>
      </c>
      <c r="D78" s="4">
        <v>15</v>
      </c>
      <c r="E78" s="4">
        <v>10</v>
      </c>
      <c r="F78" s="50">
        <f t="shared" si="27"/>
        <v>0</v>
      </c>
      <c r="G78" s="50">
        <f t="shared" si="28"/>
        <v>125</v>
      </c>
      <c r="H78" s="4">
        <f>I78*30</f>
        <v>150</v>
      </c>
      <c r="I78" s="4">
        <v>5</v>
      </c>
      <c r="J78" s="4" t="s">
        <v>14</v>
      </c>
      <c r="K78" s="74">
        <f t="shared" si="23"/>
        <v>55</v>
      </c>
      <c r="L78" s="73">
        <f t="shared" si="24"/>
        <v>30</v>
      </c>
      <c r="M78" s="74">
        <f t="shared" si="25"/>
        <v>25</v>
      </c>
      <c r="N78" s="49" t="str">
        <f>IF(O78=""," ",VLOOKUP(O78,'[8]2012 личен състав ОТД'!$A:$AO,2,FALSE))</f>
        <v xml:space="preserve">   </v>
      </c>
      <c r="O78" s="48">
        <f>IF(A78=""," ",VLOOKUP(A78,'Български език и история'!A:O,15,FALSE))</f>
        <v>0</v>
      </c>
      <c r="P78" s="49">
        <f>IF(O78=""," ",VLOOKUP(O78,'[8]2012 личен състав ОТД'!$A:$AO,13,FALSE))</f>
        <v>0</v>
      </c>
      <c r="Q78" s="49">
        <f>IF(O78=""," ",VLOOKUP(O78,'[8]2012 личен състав ОТД'!$A:$AO,12,FALSE))</f>
        <v>0</v>
      </c>
      <c r="R78" t="str">
        <f>IF(A78=""," ",VLOOKUP(A78,'Профилиращ лист'!A:B,2,FALSE))</f>
        <v>ОИД</v>
      </c>
      <c r="T78">
        <f t="shared" ca="1" si="22"/>
        <v>2013</v>
      </c>
    </row>
    <row r="79" spans="1:20" ht="15" customHeight="1" x14ac:dyDescent="0.25">
      <c r="A79" s="8" t="s">
        <v>66</v>
      </c>
      <c r="B79" s="4">
        <v>30</v>
      </c>
      <c r="C79" s="50">
        <f>'Български език и история'!C80/2</f>
        <v>15</v>
      </c>
      <c r="D79" s="4">
        <v>0</v>
      </c>
      <c r="E79" s="4">
        <v>0</v>
      </c>
      <c r="F79" s="50">
        <f t="shared" si="27"/>
        <v>15</v>
      </c>
      <c r="G79" s="50">
        <f t="shared" si="28"/>
        <v>45</v>
      </c>
      <c r="H79" s="4">
        <v>60</v>
      </c>
      <c r="I79" s="4">
        <v>2</v>
      </c>
      <c r="J79" s="4" t="s">
        <v>18</v>
      </c>
      <c r="K79" s="74">
        <f t="shared" si="23"/>
        <v>15</v>
      </c>
      <c r="L79" s="73">
        <f t="shared" si="24"/>
        <v>0</v>
      </c>
      <c r="M79" s="74">
        <f t="shared" si="25"/>
        <v>15</v>
      </c>
      <c r="N79" s="49" t="str">
        <f>IF(O79=""," ",VLOOKUP(O79,'[8]2012 личен състав ОТД'!$A:$AO,2,FALSE))</f>
        <v xml:space="preserve">   </v>
      </c>
      <c r="O79" s="48">
        <f>IF(A79=""," ",VLOOKUP(A79,'Български език и история'!A:O,15,FALSE))</f>
        <v>0</v>
      </c>
      <c r="P79" s="49">
        <f>IF(O79=""," ",VLOOKUP(O79,'[8]2012 личен състав ОТД'!$A:$AO,13,FALSE))</f>
        <v>0</v>
      </c>
      <c r="Q79" s="49">
        <f>IF(O79=""," ",VLOOKUP(O79,'[8]2012 личен състав ОТД'!$A:$AO,12,FALSE))</f>
        <v>0</v>
      </c>
      <c r="R79" t="str">
        <f>IF(A79=""," ",VLOOKUP(A79,'Профилиращ лист'!A:B,2,FALSE))</f>
        <v>ПЕД</v>
      </c>
      <c r="T79">
        <f t="shared" ca="1" si="22"/>
        <v>2013</v>
      </c>
    </row>
    <row r="80" spans="1:20" ht="15" customHeight="1" x14ac:dyDescent="0.25">
      <c r="A80" s="8" t="s">
        <v>107</v>
      </c>
      <c r="B80" s="8">
        <v>15</v>
      </c>
      <c r="C80" s="50">
        <v>10</v>
      </c>
      <c r="D80" s="4">
        <v>0</v>
      </c>
      <c r="E80" s="4">
        <v>0</v>
      </c>
      <c r="F80" s="50">
        <f t="shared" si="27"/>
        <v>10</v>
      </c>
      <c r="G80" s="50">
        <f t="shared" si="28"/>
        <v>50</v>
      </c>
      <c r="H80" s="4">
        <f>I80*30</f>
        <v>60</v>
      </c>
      <c r="I80" s="4">
        <v>2</v>
      </c>
      <c r="J80" s="4" t="s">
        <v>18</v>
      </c>
      <c r="K80" s="74">
        <f t="shared" si="23"/>
        <v>10</v>
      </c>
      <c r="L80" s="73">
        <f t="shared" si="24"/>
        <v>0</v>
      </c>
      <c r="M80" s="74">
        <f t="shared" si="25"/>
        <v>10</v>
      </c>
      <c r="N80" s="49" t="str">
        <f>IF(O80=""," ",VLOOKUP(O80,'[8]2012 личен състав ОТД'!$A:$AO,2,FALSE))</f>
        <v xml:space="preserve">   </v>
      </c>
      <c r="O80" s="48">
        <f>IF(A80=""," ",VLOOKUP(A80,'Български език и история'!A:O,15,FALSE))</f>
        <v>0</v>
      </c>
      <c r="P80" s="49">
        <f>IF(O80=""," ",VLOOKUP(O80,'[8]2012 личен състав ОТД'!$A:$AO,13,FALSE))</f>
        <v>0</v>
      </c>
      <c r="Q80" s="49">
        <f>IF(O80=""," ",VLOOKUP(O80,'[8]2012 личен състав ОТД'!$A:$AO,12,FALSE))</f>
        <v>0</v>
      </c>
      <c r="R80" t="str">
        <f>IF(A80=""," ",VLOOKUP(A80,'Профилиращ лист'!A:B,2,FALSE))</f>
        <v>ПРА</v>
      </c>
      <c r="T80">
        <f t="shared" ca="1" si="22"/>
        <v>2013</v>
      </c>
    </row>
    <row r="81" spans="1:20" ht="15" customHeight="1" x14ac:dyDescent="0.25">
      <c r="A81" s="8"/>
      <c r="B81" s="9">
        <f>SUM(B72:B80)</f>
        <v>285</v>
      </c>
      <c r="C81" s="9">
        <f>SUM(C72:C80)</f>
        <v>162.5</v>
      </c>
      <c r="D81" s="9">
        <f t="shared" ref="D81:I81" si="29">SUM(D72:D80)</f>
        <v>100</v>
      </c>
      <c r="E81" s="9">
        <f t="shared" si="29"/>
        <v>30</v>
      </c>
      <c r="F81" s="9">
        <f t="shared" si="29"/>
        <v>32.5</v>
      </c>
      <c r="G81" s="9">
        <f t="shared" si="29"/>
        <v>737.5</v>
      </c>
      <c r="H81" s="9">
        <f t="shared" si="29"/>
        <v>900</v>
      </c>
      <c r="I81" s="9">
        <f t="shared" si="29"/>
        <v>30</v>
      </c>
      <c r="J81" s="6"/>
      <c r="K81" s="74">
        <f t="shared" si="23"/>
        <v>0</v>
      </c>
      <c r="L81" s="73">
        <f t="shared" si="24"/>
        <v>0</v>
      </c>
      <c r="M81" s="74">
        <f t="shared" si="25"/>
        <v>0</v>
      </c>
      <c r="N81" s="49" t="e">
        <f>IF(O81=""," ",VLOOKUP(O81,'[8]2012 личен състав ОТД'!$A:$AO,2,FALSE))</f>
        <v>#N/A</v>
      </c>
      <c r="O81" s="48" t="str">
        <f>IF(A81=""," ",VLOOKUP(A81,'Български език и история'!A:O,15,FALSE))</f>
        <v xml:space="preserve"> </v>
      </c>
      <c r="P81" s="49" t="e">
        <f>IF(O81=""," ",VLOOKUP(O81,'[8]2012 личен състав ОТД'!$A:$AO,13,FALSE))</f>
        <v>#N/A</v>
      </c>
      <c r="Q81" s="49" t="e">
        <f>IF(O81=""," ",VLOOKUP(O81,'[8]2012 личен състав ОТД'!$A:$AO,12,FALSE))</f>
        <v>#N/A</v>
      </c>
      <c r="R81" t="str">
        <f>IF(A81=""," ",VLOOKUP(A81,'Профилиращ лист'!A:B,2,FALSE))</f>
        <v xml:space="preserve"> </v>
      </c>
      <c r="T81" t="e">
        <f t="shared" ca="1" si="22"/>
        <v>#N/A</v>
      </c>
    </row>
    <row r="82" spans="1:20" ht="15" customHeight="1" x14ac:dyDescent="0.25">
      <c r="A82" s="1" t="s">
        <v>68</v>
      </c>
      <c r="B82" s="4" t="s">
        <v>86</v>
      </c>
      <c r="C82" s="4" t="s">
        <v>86</v>
      </c>
      <c r="D82" s="4" t="s">
        <v>86</v>
      </c>
      <c r="E82" s="4" t="s">
        <v>86</v>
      </c>
      <c r="F82" s="4" t="s">
        <v>86</v>
      </c>
      <c r="G82" s="4" t="s">
        <v>86</v>
      </c>
      <c r="H82" s="4" t="s">
        <v>86</v>
      </c>
      <c r="I82" s="4" t="s">
        <v>86</v>
      </c>
      <c r="J82" s="4" t="s">
        <v>86</v>
      </c>
      <c r="K82" s="74">
        <f t="shared" si="23"/>
        <v>0</v>
      </c>
      <c r="L82" s="73">
        <f t="shared" si="24"/>
        <v>0</v>
      </c>
      <c r="M82" s="74">
        <f t="shared" si="25"/>
        <v>0</v>
      </c>
      <c r="N82" s="49" t="str">
        <f>IF(O82=""," ",VLOOKUP(O82,'[8]2012 личен състав ОТД'!$A:$AO,2,FALSE))</f>
        <v xml:space="preserve">   </v>
      </c>
      <c r="O82" s="48">
        <f>IF(A82=""," ",VLOOKUP(A82,'Български език и история'!A:O,15,FALSE))</f>
        <v>0</v>
      </c>
      <c r="P82" s="49">
        <f>IF(O82=""," ",VLOOKUP(O82,'[8]2012 личен състав ОТД'!$A:$AO,13,FALSE))</f>
        <v>0</v>
      </c>
      <c r="Q82" s="49">
        <f>IF(O82=""," ",VLOOKUP(O82,'[8]2012 личен състав ОТД'!$A:$AO,12,FALSE))</f>
        <v>0</v>
      </c>
      <c r="R82" t="e">
        <f>IF(A82=""," ",VLOOKUP(A82,'Профилиращ лист'!A:B,2,FALSE))</f>
        <v>#N/A</v>
      </c>
      <c r="T82">
        <f t="shared" ca="1" si="22"/>
        <v>2013</v>
      </c>
    </row>
    <row r="83" spans="1:20" ht="15" customHeight="1" x14ac:dyDescent="0.25">
      <c r="A83" s="8" t="s">
        <v>62</v>
      </c>
      <c r="B83" s="4">
        <v>30</v>
      </c>
      <c r="C83" s="50">
        <v>25</v>
      </c>
      <c r="D83" s="4">
        <v>25</v>
      </c>
      <c r="E83" s="4">
        <v>0</v>
      </c>
      <c r="F83" s="50">
        <f t="shared" ref="F83:F89" si="30">C83-D83-E83</f>
        <v>0</v>
      </c>
      <c r="G83" s="50">
        <f t="shared" ref="G83:G89" si="31">H83-C83</f>
        <v>65</v>
      </c>
      <c r="H83" s="4">
        <f>I83*30</f>
        <v>90</v>
      </c>
      <c r="I83" s="4">
        <v>3</v>
      </c>
      <c r="J83" s="4" t="s">
        <v>12</v>
      </c>
      <c r="K83" s="74">
        <f t="shared" si="23"/>
        <v>50</v>
      </c>
      <c r="L83" s="73">
        <f t="shared" si="24"/>
        <v>50</v>
      </c>
      <c r="M83" s="74">
        <f t="shared" si="25"/>
        <v>0</v>
      </c>
      <c r="N83" s="49" t="str">
        <f>IF(O83=""," ",VLOOKUP(O83,'[8]2012 личен състав ОТД'!$A:$AO,2,FALSE))</f>
        <v>проф. дфн Любка Липчева-Пранджева</v>
      </c>
      <c r="O83" s="48" t="s">
        <v>495</v>
      </c>
      <c r="P83" s="49">
        <f>IF(O83=""," ",VLOOKUP(O83,'[8]2012 личен състав ОТД'!$A:$AO,13,FALSE))</f>
        <v>1961</v>
      </c>
      <c r="Q83" s="49" t="str">
        <f>IF(O83=""," ",VLOOKUP(O83,'[8]2012 личен състав ОТД'!$A:$AO,12,FALSE))</f>
        <v>ОТД</v>
      </c>
      <c r="R83" t="str">
        <f>IF(A83=""," ",VLOOKUP(A83,'Профилиращ лист'!A:B,2,FALSE))</f>
        <v>СПЕ</v>
      </c>
      <c r="T83">
        <f t="shared" ca="1" si="22"/>
        <v>52</v>
      </c>
    </row>
    <row r="84" spans="1:20" ht="15" customHeight="1" x14ac:dyDescent="0.25">
      <c r="A84" s="8" t="s">
        <v>108</v>
      </c>
      <c r="B84" s="8">
        <v>60</v>
      </c>
      <c r="C84" s="50">
        <f>'Български език и история'!C85/2</f>
        <v>30</v>
      </c>
      <c r="D84" s="4">
        <v>15</v>
      </c>
      <c r="E84" s="4">
        <v>15</v>
      </c>
      <c r="F84" s="50">
        <f t="shared" si="30"/>
        <v>0</v>
      </c>
      <c r="G84" s="50">
        <f t="shared" si="31"/>
        <v>150</v>
      </c>
      <c r="H84" s="4">
        <f>I84*30</f>
        <v>180</v>
      </c>
      <c r="I84" s="4">
        <v>6</v>
      </c>
      <c r="J84" s="6" t="s">
        <v>12</v>
      </c>
      <c r="K84" s="74">
        <f t="shared" si="23"/>
        <v>30</v>
      </c>
      <c r="L84" s="73">
        <f t="shared" si="24"/>
        <v>15</v>
      </c>
      <c r="M84" s="74">
        <f t="shared" si="25"/>
        <v>15</v>
      </c>
      <c r="N84" s="49" t="str">
        <f>IF(O84=""," ",VLOOKUP(O84,'[8]2012 личен състав ОТД'!$A:$AO,2,FALSE))</f>
        <v>гл. ас. д-р Симеон Кацаров</v>
      </c>
      <c r="O84" s="48" t="str">
        <f>IF(A84=""," ",VLOOKUP(A84,'Български език и история'!A:O,15,FALSE))</f>
        <v>кацаров</v>
      </c>
      <c r="P84" s="49">
        <f>IF(O84=""," ",VLOOKUP(O84,'[8]2012 личен състав ОТД'!$A:$AO,13,FALSE))</f>
        <v>1968</v>
      </c>
      <c r="Q84" s="49" t="str">
        <f>IF(O84=""," ",VLOOKUP(O84,'[8]2012 личен състав ОТД'!$A:$AO,12,FALSE))</f>
        <v>ОТД</v>
      </c>
      <c r="R84" t="str">
        <f>IF(A84=""," ",VLOOKUP(A84,'Профилиращ лист'!A:B,2,FALSE))</f>
        <v>СПЕ</v>
      </c>
      <c r="T84">
        <f t="shared" ca="1" si="22"/>
        <v>45</v>
      </c>
    </row>
    <row r="85" spans="1:20" ht="15" customHeight="1" x14ac:dyDescent="0.25">
      <c r="A85" s="8" t="s">
        <v>109</v>
      </c>
      <c r="B85" s="8">
        <v>30</v>
      </c>
      <c r="C85" s="50">
        <f>'Български език и история'!C86/2</f>
        <v>15</v>
      </c>
      <c r="D85" s="4">
        <v>15</v>
      </c>
      <c r="E85" s="4">
        <v>0</v>
      </c>
      <c r="F85" s="50">
        <f t="shared" si="30"/>
        <v>0</v>
      </c>
      <c r="G85" s="50">
        <f t="shared" si="31"/>
        <v>105</v>
      </c>
      <c r="H85" s="4">
        <f>I85*30</f>
        <v>120</v>
      </c>
      <c r="I85" s="4">
        <v>4</v>
      </c>
      <c r="J85" s="6" t="s">
        <v>12</v>
      </c>
      <c r="K85" s="74">
        <f t="shared" si="23"/>
        <v>15</v>
      </c>
      <c r="L85" s="73">
        <f t="shared" si="24"/>
        <v>15</v>
      </c>
      <c r="M85" s="74">
        <f t="shared" si="25"/>
        <v>0</v>
      </c>
      <c r="N85" s="49" t="str">
        <f>IF(O85=""," ",VLOOKUP(O85,'[8]2012 личен състав ОТД'!$A:$AO,2,FALSE))</f>
        <v>доц. д-р Иван Джамбов</v>
      </c>
      <c r="O85" s="48" t="str">
        <f>IF(A85=""," ",VLOOKUP(A85,'Български език и история'!A:O,15,FALSE))</f>
        <v>джамбов</v>
      </c>
      <c r="P85" s="49">
        <f>IF(O85=""," ",VLOOKUP(O85,'[8]2012 личен състав ОТД'!$A:$AO,13,FALSE))</f>
        <v>1949</v>
      </c>
      <c r="Q85" s="49" t="str">
        <f>IF(O85=""," ",VLOOKUP(O85,'[8]2012 личен състав ОТД'!$A:$AO,12,FALSE))</f>
        <v>ОТД</v>
      </c>
      <c r="R85" t="str">
        <f>IF(A85=""," ",VLOOKUP(A85,'Профилиращ лист'!A:B,2,FALSE))</f>
        <v>ОИД</v>
      </c>
      <c r="T85">
        <f t="shared" ca="1" si="22"/>
        <v>64</v>
      </c>
    </row>
    <row r="86" spans="1:20" ht="15" customHeight="1" x14ac:dyDescent="0.25">
      <c r="A86" s="8" t="s">
        <v>71</v>
      </c>
      <c r="B86" s="4">
        <v>45</v>
      </c>
      <c r="C86" s="50">
        <v>25</v>
      </c>
      <c r="D86" s="4">
        <v>0</v>
      </c>
      <c r="E86" s="4">
        <v>0</v>
      </c>
      <c r="F86" s="50">
        <f t="shared" si="30"/>
        <v>25</v>
      </c>
      <c r="G86" s="50">
        <f t="shared" si="31"/>
        <v>95</v>
      </c>
      <c r="H86" s="4">
        <v>120</v>
      </c>
      <c r="I86" s="4">
        <v>4</v>
      </c>
      <c r="J86" s="4" t="s">
        <v>12</v>
      </c>
      <c r="K86" s="74">
        <f t="shared" si="23"/>
        <v>25</v>
      </c>
      <c r="L86" s="73">
        <f t="shared" si="24"/>
        <v>0</v>
      </c>
      <c r="M86" s="74">
        <f t="shared" si="25"/>
        <v>25</v>
      </c>
      <c r="N86" s="49" t="str">
        <f>IF(O86=""," ",VLOOKUP(O86,'[8]2012 личен състав ОТД'!$A:$AO,2,FALSE))</f>
        <v xml:space="preserve">   </v>
      </c>
      <c r="O86" s="48">
        <f>IF(A86=""," ",VLOOKUP(A86,'Български език и история'!A:O,15,FALSE))</f>
        <v>0</v>
      </c>
      <c r="P86" s="49">
        <f>IF(O86=""," ",VLOOKUP(O86,'[8]2012 личен състав ОТД'!$A:$AO,13,FALSE))</f>
        <v>0</v>
      </c>
      <c r="Q86" s="49">
        <f>IF(O86=""," ",VLOOKUP(O86,'[8]2012 личен състав ОТД'!$A:$AO,12,FALSE))</f>
        <v>0</v>
      </c>
      <c r="R86" t="str">
        <f>IF(A86=""," ",VLOOKUP(A86,'Профилиращ лист'!A:B,2,FALSE))</f>
        <v>ПЕД</v>
      </c>
      <c r="T86">
        <f t="shared" ca="1" si="22"/>
        <v>2013</v>
      </c>
    </row>
    <row r="87" spans="1:20" ht="15" customHeight="1" x14ac:dyDescent="0.25">
      <c r="A87" s="8" t="s">
        <v>110</v>
      </c>
      <c r="B87" s="8">
        <v>30</v>
      </c>
      <c r="C87" s="50">
        <f>'Български език и история'!C88/2</f>
        <v>15</v>
      </c>
      <c r="D87" s="4">
        <v>0</v>
      </c>
      <c r="E87" s="4">
        <v>0</v>
      </c>
      <c r="F87" s="50">
        <f t="shared" si="30"/>
        <v>15</v>
      </c>
      <c r="G87" s="50">
        <f t="shared" si="31"/>
        <v>75</v>
      </c>
      <c r="H87" s="4">
        <f>I87*30</f>
        <v>90</v>
      </c>
      <c r="I87" s="4">
        <v>3</v>
      </c>
      <c r="J87" s="6" t="s">
        <v>12</v>
      </c>
      <c r="K87" s="74">
        <f t="shared" si="23"/>
        <v>15</v>
      </c>
      <c r="L87" s="73">
        <f t="shared" si="24"/>
        <v>0</v>
      </c>
      <c r="M87" s="74">
        <f t="shared" si="25"/>
        <v>15</v>
      </c>
      <c r="N87" s="49" t="str">
        <f>IF(O87=""," ",VLOOKUP(O87,'[8]2012 личен състав ОТД'!$A:$AO,2,FALSE))</f>
        <v xml:space="preserve">   </v>
      </c>
      <c r="O87" s="48">
        <f>IF(A87=""," ",VLOOKUP(A87,'Български език и история'!A:O,15,FALSE))</f>
        <v>0</v>
      </c>
      <c r="P87" s="49">
        <f>IF(O87=""," ",VLOOKUP(O87,'[8]2012 личен състав ОТД'!$A:$AO,13,FALSE))</f>
        <v>0</v>
      </c>
      <c r="Q87" s="49">
        <f>IF(O87=""," ",VLOOKUP(O87,'[8]2012 личен състав ОТД'!$A:$AO,12,FALSE))</f>
        <v>0</v>
      </c>
      <c r="R87" t="str">
        <f>IF(A87=""," ",VLOOKUP(A87,'Профилиращ лист'!A:B,2,FALSE))</f>
        <v>ПРА</v>
      </c>
      <c r="T87">
        <f t="shared" ca="1" si="22"/>
        <v>2013</v>
      </c>
    </row>
    <row r="88" spans="1:20" ht="15" customHeight="1" x14ac:dyDescent="0.25">
      <c r="A88" s="8" t="s">
        <v>111</v>
      </c>
      <c r="B88" s="8">
        <v>45</v>
      </c>
      <c r="C88" s="50">
        <v>25</v>
      </c>
      <c r="D88" s="4">
        <v>15</v>
      </c>
      <c r="E88" s="4">
        <v>10</v>
      </c>
      <c r="F88" s="50">
        <f t="shared" si="30"/>
        <v>0</v>
      </c>
      <c r="G88" s="50">
        <f t="shared" si="31"/>
        <v>95</v>
      </c>
      <c r="H88" s="4">
        <f>I88*30</f>
        <v>120</v>
      </c>
      <c r="I88" s="4">
        <v>4</v>
      </c>
      <c r="J88" s="6" t="s">
        <v>12</v>
      </c>
      <c r="K88" s="74">
        <f t="shared" si="23"/>
        <v>25</v>
      </c>
      <c r="L88" s="73">
        <f t="shared" si="24"/>
        <v>15</v>
      </c>
      <c r="M88" s="74">
        <f t="shared" si="25"/>
        <v>10</v>
      </c>
      <c r="N88" s="49" t="str">
        <f>IF(O88=""," ",VLOOKUP(O88,'[8]2012 личен състав ОТД'!$A:$AO,2,FALSE))</f>
        <v>доц. дфн Вера Маровска</v>
      </c>
      <c r="O88" s="48" t="str">
        <f>IF(A88=""," ",VLOOKUP(A88,'Български език и история'!A:O,15,FALSE))</f>
        <v>маровска</v>
      </c>
      <c r="P88" s="49">
        <f>IF(O88=""," ",VLOOKUP(O88,'[8]2012 личен състав ОТД'!$A:$AO,13,FALSE))</f>
        <v>1954</v>
      </c>
      <c r="Q88" s="49" t="str">
        <f>IF(O88=""," ",VLOOKUP(O88,'[8]2012 личен състав ОТД'!$A:$AO,12,FALSE))</f>
        <v>ОТД</v>
      </c>
      <c r="R88" t="str">
        <f>IF(A88=""," ",VLOOKUP(A88,'Профилиращ лист'!A:B,2,FALSE))</f>
        <v>СПЕ</v>
      </c>
      <c r="T88">
        <f t="shared" ca="1" si="22"/>
        <v>59</v>
      </c>
    </row>
    <row r="89" spans="1:20" ht="15" customHeight="1" x14ac:dyDescent="0.25">
      <c r="A89" s="8" t="s">
        <v>106</v>
      </c>
      <c r="B89" s="8">
        <v>60</v>
      </c>
      <c r="C89" s="50">
        <f>'Български език и история'!C90/2</f>
        <v>30</v>
      </c>
      <c r="D89" s="4">
        <v>15</v>
      </c>
      <c r="E89" s="4">
        <v>15</v>
      </c>
      <c r="F89" s="50">
        <f t="shared" si="30"/>
        <v>0</v>
      </c>
      <c r="G89" s="50">
        <f t="shared" si="31"/>
        <v>150</v>
      </c>
      <c r="H89" s="4">
        <f>I89*30</f>
        <v>180</v>
      </c>
      <c r="I89" s="4">
        <v>6</v>
      </c>
      <c r="J89" s="6" t="s">
        <v>12</v>
      </c>
      <c r="K89" s="74">
        <f t="shared" si="23"/>
        <v>55</v>
      </c>
      <c r="L89" s="73">
        <f t="shared" si="24"/>
        <v>30</v>
      </c>
      <c r="M89" s="74">
        <f t="shared" si="25"/>
        <v>25</v>
      </c>
      <c r="N89" s="49" t="str">
        <f>IF(O89=""," ",VLOOKUP(O89,'[8]2012 личен състав ОТД'!$A:$AO,2,FALSE))</f>
        <v>доц. д-р Иван Тодоров</v>
      </c>
      <c r="O89" s="48" t="s">
        <v>529</v>
      </c>
      <c r="P89" s="49">
        <f>IF(O89=""," ",VLOOKUP(O89,'[8]2012 личен състав ОТД'!$A:$AO,13,FALSE))</f>
        <v>0</v>
      </c>
      <c r="Q89" s="49" t="str">
        <f>IF(O89=""," ",VLOOKUP(O89,'[8]2012 личен състав ОТД'!$A:$AO,12,FALSE))</f>
        <v>ХОН</v>
      </c>
      <c r="R89" t="str">
        <f>IF(A89=""," ",VLOOKUP(A89,'Профилиращ лист'!A:B,2,FALSE))</f>
        <v>ОИД</v>
      </c>
      <c r="T89">
        <f t="shared" ca="1" si="22"/>
        <v>2013</v>
      </c>
    </row>
    <row r="90" spans="1:20" ht="14.1" customHeight="1" x14ac:dyDescent="0.25">
      <c r="A90" s="8"/>
      <c r="B90" s="9">
        <f>SUM(B83:B89)</f>
        <v>300</v>
      </c>
      <c r="C90" s="9">
        <f>SUM(C83:C89)</f>
        <v>165</v>
      </c>
      <c r="D90" s="9">
        <f t="shared" ref="D90:I90" si="32">SUM(D83:D89)</f>
        <v>85</v>
      </c>
      <c r="E90" s="9">
        <f t="shared" si="32"/>
        <v>40</v>
      </c>
      <c r="F90" s="9">
        <f t="shared" si="32"/>
        <v>40</v>
      </c>
      <c r="G90" s="9">
        <f t="shared" si="32"/>
        <v>735</v>
      </c>
      <c r="H90" s="9">
        <f t="shared" si="32"/>
        <v>900</v>
      </c>
      <c r="I90" s="9">
        <f t="shared" si="32"/>
        <v>30</v>
      </c>
      <c r="J90" s="6"/>
      <c r="K90" s="74">
        <f t="shared" si="23"/>
        <v>0</v>
      </c>
      <c r="L90" s="73">
        <f t="shared" si="24"/>
        <v>0</v>
      </c>
      <c r="M90" s="74">
        <f t="shared" si="25"/>
        <v>0</v>
      </c>
      <c r="N90" s="49" t="str">
        <f>IF(O90=""," ",VLOOKUP(O90,'[8]2012 личен състав ОТД'!$A:$AO,2,FALSE))</f>
        <v xml:space="preserve"> </v>
      </c>
      <c r="O90" s="48"/>
      <c r="P90" s="49" t="str">
        <f>IF(O90=""," ",VLOOKUP(O90,'[8]2012 личен състав ОТД'!$A:$AO,13,FALSE))</f>
        <v xml:space="preserve"> </v>
      </c>
      <c r="Q90" s="49" t="str">
        <f>IF(O90=""," ",VLOOKUP(O90,'[8]2012 личен състав ОТД'!$A:$AO,12,FALSE))</f>
        <v xml:space="preserve"> </v>
      </c>
      <c r="R90" t="str">
        <f>IF(A90=""," ",VLOOKUP(A90,'Профилиращ лист'!A:B,2,FALSE))</f>
        <v xml:space="preserve"> </v>
      </c>
      <c r="T90" t="e">
        <f t="shared" ca="1" si="22"/>
        <v>#VALUE!</v>
      </c>
    </row>
    <row r="91" spans="1:20" ht="14.1" customHeight="1" x14ac:dyDescent="0.25">
      <c r="A91" s="1" t="s">
        <v>75</v>
      </c>
      <c r="B91" s="1"/>
      <c r="C91" s="4"/>
      <c r="D91" s="4"/>
      <c r="E91" s="4"/>
      <c r="F91" s="4"/>
      <c r="G91" s="4"/>
      <c r="H91" s="4"/>
      <c r="I91" s="5"/>
      <c r="J91" s="6"/>
      <c r="K91" s="74">
        <f t="shared" si="23"/>
        <v>0</v>
      </c>
      <c r="L91" s="73">
        <f t="shared" si="24"/>
        <v>0</v>
      </c>
      <c r="M91" s="74">
        <f t="shared" si="25"/>
        <v>0</v>
      </c>
      <c r="N91" s="49" t="str">
        <f>IF(O91=""," ",VLOOKUP(O91,'[8]2012 личен състав ОТД'!$A:$AO,2,FALSE))</f>
        <v xml:space="preserve"> </v>
      </c>
      <c r="O91" s="48"/>
      <c r="P91" s="49" t="str">
        <f>IF(O91=""," ",VLOOKUP(O91,'[8]2012 личен състав ОТД'!$A:$AO,13,FALSE))</f>
        <v xml:space="preserve"> </v>
      </c>
      <c r="Q91" s="49" t="str">
        <f>IF(O91=""," ",VLOOKUP(O91,'[8]2012 личен състав ОТД'!$A:$AO,12,FALSE))</f>
        <v xml:space="preserve"> </v>
      </c>
      <c r="R91" t="e">
        <f>IF(A91=""," ",VLOOKUP(A91,'Профилиращ лист'!A:B,2,FALSE))</f>
        <v>#N/A</v>
      </c>
      <c r="T91" t="e">
        <f t="shared" ca="1" si="22"/>
        <v>#VALUE!</v>
      </c>
    </row>
    <row r="92" spans="1:20" ht="14.1" customHeight="1" x14ac:dyDescent="0.25">
      <c r="A92" s="8" t="s">
        <v>77</v>
      </c>
      <c r="B92" s="8"/>
      <c r="C92" s="4"/>
      <c r="D92" s="4"/>
      <c r="E92" s="4"/>
      <c r="F92" s="4"/>
      <c r="G92" s="4"/>
      <c r="H92" s="4"/>
      <c r="I92" s="4">
        <v>2</v>
      </c>
      <c r="J92" s="6" t="s">
        <v>12</v>
      </c>
      <c r="K92" s="74">
        <f t="shared" si="23"/>
        <v>0</v>
      </c>
      <c r="L92" s="73">
        <f t="shared" si="24"/>
        <v>0</v>
      </c>
      <c r="M92" s="74">
        <f t="shared" si="25"/>
        <v>0</v>
      </c>
      <c r="N92" s="49" t="str">
        <f>IF(O92=""," ",VLOOKUP(O92,'[8]2012 личен състав ОТД'!$A:$AO,2,FALSE))</f>
        <v xml:space="preserve"> </v>
      </c>
      <c r="O92" s="48"/>
      <c r="P92" s="49" t="str">
        <f>IF(O92=""," ",VLOOKUP(O92,'[8]2012 личен състав ОТД'!$A:$AO,13,FALSE))</f>
        <v xml:space="preserve"> </v>
      </c>
      <c r="Q92" s="49" t="str">
        <f>IF(O92=""," ",VLOOKUP(O92,'[8]2012 личен състав ОТД'!$A:$AO,12,FALSE))</f>
        <v xml:space="preserve"> </v>
      </c>
      <c r="R92" t="e">
        <f>IF(A92=""," ",VLOOKUP(A92,'Профилиращ лист'!A:B,2,FALSE))</f>
        <v>#N/A</v>
      </c>
      <c r="T92" t="e">
        <f t="shared" ca="1" si="22"/>
        <v>#VALUE!</v>
      </c>
    </row>
    <row r="93" spans="1:20" ht="14.1" customHeight="1" x14ac:dyDescent="0.25">
      <c r="A93" s="8" t="s">
        <v>112</v>
      </c>
      <c r="B93" s="8"/>
      <c r="C93" s="4"/>
      <c r="D93" s="4"/>
      <c r="E93" s="4"/>
      <c r="F93" s="4"/>
      <c r="G93" s="4"/>
      <c r="H93" s="4"/>
      <c r="I93" s="4">
        <v>2</v>
      </c>
      <c r="J93" s="6" t="s">
        <v>12</v>
      </c>
      <c r="K93" s="74">
        <f t="shared" si="23"/>
        <v>0</v>
      </c>
      <c r="L93" s="73">
        <f t="shared" si="24"/>
        <v>0</v>
      </c>
      <c r="M93" s="74">
        <f t="shared" si="25"/>
        <v>0</v>
      </c>
      <c r="N93" s="49" t="str">
        <f>IF(O93=""," ",VLOOKUP(O93,'[8]2012 личен състав ОТД'!$A:$AO,2,FALSE))</f>
        <v xml:space="preserve"> </v>
      </c>
      <c r="O93" s="48"/>
      <c r="P93" s="49" t="str">
        <f>IF(O93=""," ",VLOOKUP(O93,'[8]2012 личен състав ОТД'!$A:$AO,13,FALSE))</f>
        <v xml:space="preserve"> </v>
      </c>
      <c r="Q93" s="49" t="str">
        <f>IF(O93=""," ",VLOOKUP(O93,'[8]2012 личен състав ОТД'!$A:$AO,12,FALSE))</f>
        <v xml:space="preserve"> </v>
      </c>
      <c r="R93" t="e">
        <f>IF(A93=""," ",VLOOKUP(A93,'Профилиращ лист'!A:B,2,FALSE))</f>
        <v>#N/A</v>
      </c>
      <c r="T93" t="e">
        <f t="shared" ca="1" si="22"/>
        <v>#VALUE!</v>
      </c>
    </row>
    <row r="94" spans="1:20" ht="14.1" customHeight="1" x14ac:dyDescent="0.25">
      <c r="A94" s="8" t="s">
        <v>79</v>
      </c>
      <c r="B94" s="8"/>
      <c r="C94" s="4"/>
      <c r="D94" s="4"/>
      <c r="E94" s="4"/>
      <c r="F94" s="4"/>
      <c r="G94" s="4"/>
      <c r="H94" s="4"/>
      <c r="I94" s="4">
        <v>3</v>
      </c>
      <c r="J94" s="6" t="s">
        <v>12</v>
      </c>
      <c r="K94" s="74">
        <f t="shared" si="23"/>
        <v>0</v>
      </c>
      <c r="L94" s="73">
        <f t="shared" si="24"/>
        <v>0</v>
      </c>
      <c r="M94" s="74">
        <f t="shared" si="25"/>
        <v>0</v>
      </c>
      <c r="N94" s="49" t="str">
        <f>IF(O94=""," ",VLOOKUP(O94,'[8]2012 личен състав ОТД'!$A:$AO,2,FALSE))</f>
        <v xml:space="preserve"> </v>
      </c>
      <c r="O94" s="48"/>
      <c r="P94" s="49" t="str">
        <f>IF(O94=""," ",VLOOKUP(O94,'[8]2012 личен състав ОТД'!$A:$AO,13,FALSE))</f>
        <v xml:space="preserve"> </v>
      </c>
      <c r="Q94" s="49" t="str">
        <f>IF(O94=""," ",VLOOKUP(O94,'[8]2012 личен състав ОТД'!$A:$AO,12,FALSE))</f>
        <v xml:space="preserve"> </v>
      </c>
      <c r="R94" t="e">
        <f>IF(A94=""," ",VLOOKUP(A94,'Профилиращ лист'!A:B,2,FALSE))</f>
        <v>#N/A</v>
      </c>
      <c r="T94" t="e">
        <f t="shared" ca="1" si="22"/>
        <v>#VALUE!</v>
      </c>
    </row>
    <row r="95" spans="1:20" ht="14.1" customHeight="1" x14ac:dyDescent="0.25">
      <c r="A95" s="8" t="s">
        <v>113</v>
      </c>
      <c r="B95" s="8"/>
      <c r="C95" s="4"/>
      <c r="D95" s="4"/>
      <c r="E95" s="4"/>
      <c r="F95" s="4"/>
      <c r="G95" s="4"/>
      <c r="H95" s="4"/>
      <c r="I95" s="4">
        <v>3</v>
      </c>
      <c r="J95" s="6" t="s">
        <v>12</v>
      </c>
      <c r="K95" s="74">
        <f t="shared" si="23"/>
        <v>0</v>
      </c>
      <c r="L95" s="73">
        <f t="shared" si="24"/>
        <v>0</v>
      </c>
      <c r="M95" s="74">
        <f t="shared" si="25"/>
        <v>0</v>
      </c>
      <c r="N95" s="49" t="str">
        <f>IF(O95=""," ",VLOOKUP(O95,'[8]2012 личен състав ОТД'!$A:$AO,2,FALSE))</f>
        <v xml:space="preserve"> </v>
      </c>
      <c r="O95" s="48"/>
      <c r="P95" s="49" t="str">
        <f>IF(O95=""," ",VLOOKUP(O95,'[8]2012 личен състав ОТД'!$A:$AO,13,FALSE))</f>
        <v xml:space="preserve"> </v>
      </c>
      <c r="Q95" s="49" t="str">
        <f>IF(O95=""," ",VLOOKUP(O95,'[8]2012 личен състав ОТД'!$A:$AO,12,FALSE))</f>
        <v xml:space="preserve"> </v>
      </c>
      <c r="R95" t="e">
        <f>IF(A95=""," ",VLOOKUP(A95,'Профилиращ лист'!A:B,2,FALSE))</f>
        <v>#N/A</v>
      </c>
      <c r="T95" t="e">
        <f t="shared" ca="1" si="22"/>
        <v>#VALUE!</v>
      </c>
    </row>
    <row r="96" spans="1:20" ht="14.1" customHeight="1" x14ac:dyDescent="0.25">
      <c r="A96" s="8"/>
      <c r="B96" s="8"/>
      <c r="C96" s="4"/>
      <c r="D96" s="4"/>
      <c r="E96" s="4"/>
      <c r="F96" s="4"/>
      <c r="G96" s="4"/>
      <c r="H96" s="4"/>
      <c r="I96" s="11">
        <f>SUM(I92:I95)</f>
        <v>10</v>
      </c>
      <c r="J96" s="10"/>
      <c r="K96" s="74">
        <f t="shared" si="23"/>
        <v>0</v>
      </c>
      <c r="L96" s="73">
        <f t="shared" si="24"/>
        <v>0</v>
      </c>
      <c r="M96" s="74">
        <f t="shared" si="25"/>
        <v>0</v>
      </c>
      <c r="N96" s="49" t="str">
        <f>IF(O96=""," ",VLOOKUP(O96,'[8]2012 личен състав ОТД'!$A:$AO,2,FALSE))</f>
        <v xml:space="preserve"> </v>
      </c>
      <c r="O96" s="48"/>
      <c r="P96" s="49" t="str">
        <f>IF(O96=""," ",VLOOKUP(O96,'[8]2012 личен състав ОТД'!$A:$AO,13,FALSE))</f>
        <v xml:space="preserve"> </v>
      </c>
      <c r="Q96" s="49" t="str">
        <f>IF(O96=""," ",VLOOKUP(O96,'[8]2012 личен състав ОТД'!$A:$AO,12,FALSE))</f>
        <v xml:space="preserve"> </v>
      </c>
      <c r="R96" t="str">
        <f>IF(A96=""," ",VLOOKUP(A96,'Профилиращ лист'!A:B,2,FALSE))</f>
        <v xml:space="preserve"> </v>
      </c>
    </row>
    <row r="97" spans="1:18" ht="14.1" customHeight="1" x14ac:dyDescent="0.25">
      <c r="A97" s="12" t="s">
        <v>80</v>
      </c>
      <c r="B97" s="9">
        <f t="shared" ref="B97:H97" si="33">B90+B81+B70+B58+B47+B35+B24+B13</f>
        <v>2730</v>
      </c>
      <c r="C97" s="9">
        <f t="shared" si="33"/>
        <v>1570</v>
      </c>
      <c r="D97" s="9">
        <f t="shared" si="33"/>
        <v>1110</v>
      </c>
      <c r="E97" s="9">
        <f t="shared" si="33"/>
        <v>360</v>
      </c>
      <c r="F97" s="9">
        <f t="shared" si="33"/>
        <v>100</v>
      </c>
      <c r="G97" s="9">
        <f t="shared" si="33"/>
        <v>5630</v>
      </c>
      <c r="H97" s="9">
        <f t="shared" si="33"/>
        <v>7200</v>
      </c>
      <c r="I97" s="11">
        <f>I90+I81+I70+I58+I47+I35+I24+I13+I96</f>
        <v>250</v>
      </c>
      <c r="J97" s="10"/>
      <c r="K97" s="74">
        <f t="shared" si="23"/>
        <v>1570</v>
      </c>
      <c r="L97" s="73">
        <f t="shared" si="24"/>
        <v>1110</v>
      </c>
      <c r="M97" s="74">
        <f t="shared" si="25"/>
        <v>460</v>
      </c>
      <c r="N97" s="49" t="str">
        <f>IF(O97=""," ",VLOOKUP(O97,'[8]2012 личен състав ОТД'!$A:$AO,2,FALSE))</f>
        <v xml:space="preserve"> </v>
      </c>
      <c r="O97" s="48"/>
      <c r="P97" s="49" t="str">
        <f>IF(O97=""," ",VLOOKUP(O97,'[8]2012 личен състав ОТД'!$A:$AO,13,FALSE))</f>
        <v xml:space="preserve"> </v>
      </c>
      <c r="Q97" s="49" t="str">
        <f>IF(O97=""," ",VLOOKUP(O97,'[8]2012 личен състав ОТД'!$A:$AO,12,FALSE))</f>
        <v xml:space="preserve"> </v>
      </c>
      <c r="R97" t="e">
        <f>IF(A97=""," ",VLOOKUP(A97,'Профилиращ лист'!A:B,2,FALSE))</f>
        <v>#N/A</v>
      </c>
    </row>
    <row r="98" spans="1:18" ht="15" customHeight="1" x14ac:dyDescent="0.25">
      <c r="A98" s="8"/>
      <c r="B98" s="8"/>
      <c r="C98" s="4">
        <f>C97/120</f>
        <v>13.083333333333334</v>
      </c>
      <c r="D98" s="4">
        <f t="shared" ref="D98:I98" si="34">D97/120</f>
        <v>9.25</v>
      </c>
      <c r="E98" s="4">
        <f t="shared" si="34"/>
        <v>3</v>
      </c>
      <c r="F98" s="4">
        <f t="shared" si="34"/>
        <v>0.83333333333333337</v>
      </c>
      <c r="G98" s="4">
        <f t="shared" si="34"/>
        <v>46.916666666666664</v>
      </c>
      <c r="H98" s="4">
        <f t="shared" si="34"/>
        <v>60</v>
      </c>
      <c r="I98" s="5">
        <f t="shared" si="34"/>
        <v>2.0833333333333335</v>
      </c>
      <c r="J98" s="10"/>
      <c r="K98" s="74">
        <f t="shared" si="23"/>
        <v>0</v>
      </c>
      <c r="L98" s="73">
        <f t="shared" si="24"/>
        <v>0</v>
      </c>
      <c r="M98" s="74">
        <f t="shared" si="25"/>
        <v>0</v>
      </c>
      <c r="N98" s="49" t="str">
        <f>IF(O98=""," ",VLOOKUP(O98,'[8]2012 личен състав ОТД'!$A:$AO,2,FALSE))</f>
        <v xml:space="preserve"> </v>
      </c>
      <c r="O98" s="48"/>
      <c r="P98" s="49" t="str">
        <f>IF(O98=""," ",VLOOKUP(O98,'[8]2012 личен състав ОТД'!$A:$AO,13,FALSE))</f>
        <v xml:space="preserve"> </v>
      </c>
      <c r="Q98" s="49" t="str">
        <f>IF(O98=""," ",VLOOKUP(O98,'[8]2012 личен състав ОТД'!$A:$AO,12,FALSE))</f>
        <v xml:space="preserve"> </v>
      </c>
      <c r="R98" t="str">
        <f>IF(A98=""," ",VLOOKUP(A98,'Профилиращ лист'!A:B,2,FALSE))</f>
        <v xml:space="preserve"> </v>
      </c>
    </row>
    <row r="99" spans="1:18" ht="15" customHeight="1" x14ac:dyDescent="0.25">
      <c r="A99" s="8"/>
      <c r="B99" s="8"/>
      <c r="C99" s="4"/>
      <c r="D99" s="4"/>
      <c r="E99" s="4"/>
      <c r="F99" s="4"/>
      <c r="G99" s="4"/>
      <c r="H99" s="4"/>
      <c r="I99" s="5"/>
      <c r="J99" s="10"/>
      <c r="K99" s="74">
        <f t="shared" si="23"/>
        <v>0</v>
      </c>
      <c r="L99" s="73">
        <f t="shared" si="24"/>
        <v>0</v>
      </c>
      <c r="M99" s="74">
        <f t="shared" si="25"/>
        <v>0</v>
      </c>
      <c r="N99" s="49" t="str">
        <f>IF(O99=""," ",VLOOKUP(O99,'[8]2012 личен състав ОТД'!$A:$AO,2,FALSE))</f>
        <v xml:space="preserve"> </v>
      </c>
      <c r="O99" s="48"/>
      <c r="P99" s="49" t="str">
        <f>IF(O99=""," ",VLOOKUP(O99,'[8]2012 личен състав ОТД'!$A:$AO,13,FALSE))</f>
        <v xml:space="preserve"> </v>
      </c>
      <c r="Q99" s="49" t="str">
        <f>IF(O99=""," ",VLOOKUP(O99,'[8]2012 личен състав ОТД'!$A:$AO,12,FALSE))</f>
        <v xml:space="preserve"> </v>
      </c>
      <c r="R99" t="str">
        <f>IF(A99=""," ",VLOOKUP(A99,'Профилиращ лист'!A:B,2,FALSE))</f>
        <v xml:space="preserve"> </v>
      </c>
    </row>
    <row r="100" spans="1:18" ht="15" customHeight="1" x14ac:dyDescent="0.25">
      <c r="A100" s="8"/>
      <c r="B100" s="8"/>
      <c r="C100" s="4"/>
      <c r="D100" s="4"/>
      <c r="E100" s="4"/>
      <c r="F100" s="4"/>
      <c r="G100" s="4"/>
      <c r="H100" s="4"/>
      <c r="I100" s="5"/>
      <c r="J100" s="10"/>
      <c r="K100" s="74">
        <f t="shared" si="23"/>
        <v>0</v>
      </c>
      <c r="L100" s="73">
        <f t="shared" si="24"/>
        <v>0</v>
      </c>
      <c r="M100" s="74">
        <f t="shared" si="25"/>
        <v>0</v>
      </c>
      <c r="N100" s="49" t="str">
        <f>IF(O100=""," ",VLOOKUP(O100,'[8]2012 личен състав ОТД'!$A:$AO,2,FALSE))</f>
        <v xml:space="preserve"> </v>
      </c>
      <c r="O100" s="48"/>
      <c r="P100" s="49" t="str">
        <f>IF(O100=""," ",VLOOKUP(O100,'[8]2012 личен състав ОТД'!$A:$AO,13,FALSE))</f>
        <v xml:space="preserve"> </v>
      </c>
      <c r="Q100" s="49" t="str">
        <f>IF(O100=""," ",VLOOKUP(O100,'[8]2012 личен състав ОТД'!$A:$AO,12,FALSE))</f>
        <v xml:space="preserve"> </v>
      </c>
      <c r="R100" t="str">
        <f>IF(A100=""," ",VLOOKUP(A100,'Профилиращ лист'!A:B,2,FALSE))</f>
        <v xml:space="preserve"> </v>
      </c>
    </row>
    <row r="101" spans="1:18" ht="15" customHeight="1" x14ac:dyDescent="0.25">
      <c r="A101" s="8"/>
      <c r="B101" s="8"/>
      <c r="C101" s="4"/>
      <c r="D101" s="4"/>
      <c r="E101" s="4"/>
      <c r="F101" s="4"/>
      <c r="G101" s="4"/>
      <c r="H101" s="4"/>
      <c r="I101" s="5"/>
      <c r="J101" s="10"/>
      <c r="K101" s="74">
        <f t="shared" si="23"/>
        <v>0</v>
      </c>
      <c r="L101" s="73">
        <f t="shared" si="24"/>
        <v>0</v>
      </c>
      <c r="M101" s="74">
        <f t="shared" si="25"/>
        <v>0</v>
      </c>
      <c r="N101" s="49" t="str">
        <f>IF(O101=""," ",VLOOKUP(O101,'[8]2012 личен състав ОТД'!$A:$AO,2,FALSE))</f>
        <v xml:space="preserve"> </v>
      </c>
      <c r="O101" s="48"/>
      <c r="P101" s="49" t="str">
        <f>IF(O101=""," ",VLOOKUP(O101,'[8]2012 личен състав ОТД'!$A:$AO,13,FALSE))</f>
        <v xml:space="preserve"> </v>
      </c>
      <c r="Q101" s="49" t="str">
        <f>IF(O101=""," ",VLOOKUP(O101,'[8]2012 личен състав ОТД'!$A:$AO,12,FALSE))</f>
        <v xml:space="preserve"> </v>
      </c>
      <c r="R101" t="str">
        <f>IF(A101=""," ",VLOOKUP(A101,'Профилиращ лист'!A:B,2,FALSE))</f>
        <v xml:space="preserve"> </v>
      </c>
    </row>
    <row r="102" spans="1:18" ht="15" customHeight="1" x14ac:dyDescent="0.25">
      <c r="A102" s="8"/>
      <c r="B102" s="8"/>
      <c r="C102" s="4"/>
      <c r="D102" s="4"/>
      <c r="E102" s="4"/>
      <c r="F102" s="4"/>
      <c r="G102" s="4"/>
      <c r="H102" s="4"/>
      <c r="I102" s="5"/>
      <c r="J102" s="10"/>
      <c r="K102" s="74">
        <f t="shared" si="23"/>
        <v>0</v>
      </c>
      <c r="L102" s="73">
        <f t="shared" si="24"/>
        <v>0</v>
      </c>
      <c r="M102" s="74">
        <f t="shared" si="25"/>
        <v>0</v>
      </c>
      <c r="N102" s="49" t="str">
        <f>IF(O102=""," ",VLOOKUP(O102,'[8]2012 личен състав ОТД'!$A:$AO,2,FALSE))</f>
        <v xml:space="preserve"> </v>
      </c>
      <c r="O102" s="48"/>
      <c r="P102" s="49" t="str">
        <f>IF(O102=""," ",VLOOKUP(O102,'[8]2012 личен състав ОТД'!$A:$AO,13,FALSE))</f>
        <v xml:space="preserve"> </v>
      </c>
      <c r="Q102" s="49" t="str">
        <f>IF(O102=""," ",VLOOKUP(O102,'[8]2012 личен състав ОТД'!$A:$AO,12,FALSE))</f>
        <v xml:space="preserve"> </v>
      </c>
      <c r="R102" t="str">
        <f>IF(A102=""," ",VLOOKUP(A102,'Профилиращ лист'!A:B,2,FALSE))</f>
        <v xml:space="preserve"> </v>
      </c>
    </row>
    <row r="103" spans="1:18" ht="15" customHeight="1" x14ac:dyDescent="0.25">
      <c r="A103" s="8"/>
      <c r="B103" s="8"/>
      <c r="C103" s="4"/>
      <c r="D103" s="4"/>
      <c r="E103" s="4"/>
      <c r="F103" s="4"/>
      <c r="G103" s="4"/>
      <c r="H103" s="4"/>
      <c r="I103" s="5"/>
      <c r="J103" s="10"/>
      <c r="K103" s="74">
        <f t="shared" si="23"/>
        <v>0</v>
      </c>
      <c r="L103" s="73">
        <f t="shared" si="24"/>
        <v>0</v>
      </c>
      <c r="M103" s="74">
        <f t="shared" si="25"/>
        <v>0</v>
      </c>
      <c r="N103" s="49" t="str">
        <f>IF(O103=""," ",VLOOKUP(O103,'[8]2012 личен състав ОТД'!$A:$AO,2,FALSE))</f>
        <v xml:space="preserve"> </v>
      </c>
      <c r="O103" s="48"/>
      <c r="P103" s="49" t="str">
        <f>IF(O103=""," ",VLOOKUP(O103,'[8]2012 личен състав ОТД'!$A:$AO,13,FALSE))</f>
        <v xml:space="preserve"> </v>
      </c>
      <c r="Q103" s="49" t="str">
        <f>IF(O103=""," ",VLOOKUP(O103,'[8]2012 личен състав ОТД'!$A:$AO,12,FALSE))</f>
        <v xml:space="preserve"> </v>
      </c>
      <c r="R103" t="str">
        <f>IF(A103=""," ",VLOOKUP(A103,'Профилиращ лист'!A:B,2,FALSE))</f>
        <v xml:space="preserve"> </v>
      </c>
    </row>
    <row r="104" spans="1:18" ht="15" customHeight="1" x14ac:dyDescent="0.25">
      <c r="A104" s="8"/>
      <c r="B104" s="8"/>
      <c r="C104" s="4"/>
      <c r="D104" s="4"/>
      <c r="E104" s="4"/>
      <c r="F104" s="4"/>
      <c r="G104" s="4"/>
      <c r="H104" s="4"/>
      <c r="I104" s="5"/>
      <c r="J104" s="10"/>
      <c r="K104" s="74">
        <f t="shared" si="23"/>
        <v>0</v>
      </c>
      <c r="L104" s="73">
        <f t="shared" si="24"/>
        <v>0</v>
      </c>
      <c r="M104" s="74">
        <f t="shared" si="25"/>
        <v>0</v>
      </c>
      <c r="N104" s="49" t="str">
        <f>IF(O104=""," ",VLOOKUP(O104,'[8]2012 личен състав ОТД'!$A:$AO,2,FALSE))</f>
        <v xml:space="preserve"> </v>
      </c>
      <c r="O104" s="48"/>
      <c r="P104" s="49" t="str">
        <f>IF(O104=""," ",VLOOKUP(O104,'[8]2012 личен състав ОТД'!$A:$AO,13,FALSE))</f>
        <v xml:space="preserve"> </v>
      </c>
      <c r="Q104" s="49" t="str">
        <f>IF(O104=""," ",VLOOKUP(O104,'[8]2012 личен състав ОТД'!$A:$AO,12,FALSE))</f>
        <v xml:space="preserve"> </v>
      </c>
      <c r="R104" t="str">
        <f>IF(A104=""," ",VLOOKUP(A104,'Профилиращ лист'!A:B,2,FALSE))</f>
        <v xml:space="preserve"> </v>
      </c>
    </row>
    <row r="105" spans="1:18" ht="15" customHeight="1" x14ac:dyDescent="0.25">
      <c r="C105" s="53"/>
      <c r="K105" s="74">
        <f t="shared" si="23"/>
        <v>0</v>
      </c>
      <c r="L105" s="73">
        <f t="shared" si="24"/>
        <v>0</v>
      </c>
      <c r="M105" s="74">
        <f t="shared" si="25"/>
        <v>0</v>
      </c>
      <c r="N105" s="49" t="str">
        <f>IF(O105=""," ",VLOOKUP(O105,'[8]2012 личен състав ОТД'!$A:$AO,2,FALSE))</f>
        <v xml:space="preserve"> </v>
      </c>
      <c r="O105" s="48"/>
      <c r="P105" s="49" t="str">
        <f>IF(O105=""," ",VLOOKUP(O105,'[8]2012 личен състав ОТД'!$A:$AO,13,FALSE))</f>
        <v xml:space="preserve"> </v>
      </c>
      <c r="Q105" s="49" t="str">
        <f>IF(O105=""," ",VLOOKUP(O105,'[8]2012 личен състав ОТД'!$A:$AO,12,FALSE))</f>
        <v xml:space="preserve"> </v>
      </c>
      <c r="R105" t="str">
        <f>IF(A105=""," ",VLOOKUP(A105,'Профилиращ лист'!A:B,2,FALSE))</f>
        <v xml:space="preserve"> </v>
      </c>
    </row>
    <row r="106" spans="1:18" ht="15" customHeight="1" x14ac:dyDescent="0.25">
      <c r="C106" s="53"/>
      <c r="K106" s="74">
        <f t="shared" si="23"/>
        <v>0</v>
      </c>
      <c r="L106" s="73">
        <f t="shared" si="24"/>
        <v>0</v>
      </c>
      <c r="M106" s="74">
        <f t="shared" si="25"/>
        <v>0</v>
      </c>
      <c r="N106" s="49" t="str">
        <f>IF(O106=""," ",VLOOKUP(O106,'[8]2012 личен състав ОТД'!$A:$AO,2,FALSE))</f>
        <v xml:space="preserve"> </v>
      </c>
      <c r="O106" s="48"/>
      <c r="P106" s="49" t="str">
        <f>IF(O106=""," ",VLOOKUP(O106,'[8]2012 личен състав ОТД'!$A:$AO,13,FALSE))</f>
        <v xml:space="preserve"> </v>
      </c>
      <c r="Q106" s="49" t="str">
        <f>IF(O106=""," ",VLOOKUP(O106,'[8]2012 личен състав ОТД'!$A:$AO,12,FALSE))</f>
        <v xml:space="preserve"> </v>
      </c>
      <c r="R106" t="str">
        <f>IF(A106=""," ",VLOOKUP(A106,'Профилиращ лист'!A:B,2,FALSE))</f>
        <v xml:space="preserve"> </v>
      </c>
    </row>
    <row r="107" spans="1:18" ht="15" customHeight="1" x14ac:dyDescent="0.25">
      <c r="C107" s="53"/>
      <c r="K107" s="74">
        <f t="shared" si="23"/>
        <v>0</v>
      </c>
      <c r="L107" s="73">
        <f t="shared" si="24"/>
        <v>0</v>
      </c>
      <c r="M107" s="74">
        <f t="shared" si="25"/>
        <v>0</v>
      </c>
      <c r="N107" s="49" t="str">
        <f>IF(O107=""," ",VLOOKUP(O107,'[8]2012 личен състав ОТД'!$A:$AO,2,FALSE))</f>
        <v xml:space="preserve"> </v>
      </c>
      <c r="O107" s="48"/>
      <c r="P107" s="49" t="str">
        <f>IF(O107=""," ",VLOOKUP(O107,'[8]2012 личен състав ОТД'!$A:$AO,13,FALSE))</f>
        <v xml:space="preserve"> </v>
      </c>
      <c r="Q107" s="49" t="str">
        <f>IF(O107=""," ",VLOOKUP(O107,'[8]2012 личен състав ОТД'!$A:$AO,12,FALSE))</f>
        <v xml:space="preserve"> </v>
      </c>
      <c r="R107" t="str">
        <f>IF(A107=""," ",VLOOKUP(A107,'Профилиращ лист'!A:B,2,FALSE))</f>
        <v xml:space="preserve"> </v>
      </c>
    </row>
    <row r="108" spans="1:18" ht="15" customHeight="1" x14ac:dyDescent="0.25">
      <c r="C108" s="53"/>
      <c r="K108" s="74">
        <f t="shared" si="23"/>
        <v>0</v>
      </c>
      <c r="L108" s="73">
        <f t="shared" si="24"/>
        <v>0</v>
      </c>
      <c r="M108" s="74">
        <f t="shared" si="25"/>
        <v>0</v>
      </c>
      <c r="N108" s="49" t="str">
        <f>IF(O108=""," ",VLOOKUP(O108,'[8]2012 личен състав ОТД'!$A:$AO,2,FALSE))</f>
        <v xml:space="preserve"> </v>
      </c>
      <c r="O108" s="48"/>
      <c r="P108" s="49" t="str">
        <f>IF(O108=""," ",VLOOKUP(O108,'[8]2012 личен състав ОТД'!$A:$AO,13,FALSE))</f>
        <v xml:space="preserve"> </v>
      </c>
      <c r="Q108" s="49" t="str">
        <f>IF(O108=""," ",VLOOKUP(O108,'[8]2012 личен състав ОТД'!$A:$AO,12,FALSE))</f>
        <v xml:space="preserve"> </v>
      </c>
      <c r="R108" t="str">
        <f>IF(A108=""," ",VLOOKUP(A108,'Профилиращ лист'!A:B,2,FALSE))</f>
        <v xml:space="preserve"> </v>
      </c>
    </row>
    <row r="109" spans="1:18" ht="15" customHeight="1" x14ac:dyDescent="0.25">
      <c r="C109" s="53"/>
      <c r="K109" s="74">
        <f t="shared" si="23"/>
        <v>0</v>
      </c>
      <c r="L109" s="73">
        <f t="shared" si="24"/>
        <v>0</v>
      </c>
      <c r="M109" s="74">
        <f t="shared" si="25"/>
        <v>0</v>
      </c>
      <c r="N109" s="49" t="str">
        <f>IF(O109=""," ",VLOOKUP(O109,'[8]2012 личен състав ОТД'!$A:$AO,2,FALSE))</f>
        <v xml:space="preserve"> </v>
      </c>
      <c r="O109" s="48"/>
      <c r="P109" s="49" t="str">
        <f>IF(O109=""," ",VLOOKUP(O109,'[8]2012 личен състав ОТД'!$A:$AO,13,FALSE))</f>
        <v xml:space="preserve"> </v>
      </c>
      <c r="Q109" s="49" t="str">
        <f>IF(O109=""," ",VLOOKUP(O109,'[8]2012 личен състав ОТД'!$A:$AO,12,FALSE))</f>
        <v xml:space="preserve"> </v>
      </c>
      <c r="R109" t="str">
        <f>IF(A109=""," ",VLOOKUP(A109,'Профилиращ лист'!A:B,2,FALSE))</f>
        <v xml:space="preserve"> </v>
      </c>
    </row>
    <row r="110" spans="1:18" ht="15" customHeight="1" x14ac:dyDescent="0.25">
      <c r="C110" s="53"/>
    </row>
    <row r="111" spans="1:18" ht="15" customHeight="1" x14ac:dyDescent="0.25">
      <c r="C111" s="53"/>
    </row>
    <row r="112" spans="1:18" ht="15" customHeight="1" x14ac:dyDescent="0.25">
      <c r="C112" s="53"/>
    </row>
    <row r="113" spans="3:3" ht="15" customHeight="1" x14ac:dyDescent="0.25">
      <c r="C113" s="53"/>
    </row>
    <row r="114" spans="3:3" ht="15" customHeight="1" x14ac:dyDescent="0.25">
      <c r="C114" s="53"/>
    </row>
    <row r="115" spans="3:3" ht="15" customHeight="1" x14ac:dyDescent="0.25">
      <c r="C115" s="53"/>
    </row>
    <row r="116" spans="3:3" ht="15" customHeight="1" x14ac:dyDescent="0.25">
      <c r="C116" s="53"/>
    </row>
    <row r="117" spans="3:3" ht="15" customHeight="1" x14ac:dyDescent="0.25">
      <c r="C117" s="53"/>
    </row>
  </sheetData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2" fitToHeight="2" orientation="portrait" r:id="rId1"/>
  <headerFooter alignWithMargins="0">
    <oddHeader>&amp;LРедовно обучение,
бакалавърска степен&amp;C&amp;14УЧЕБЕН ПЛАН: &amp;A</oddHeader>
  </headerFooter>
  <rowBreaks count="1" manualBreakCount="1">
    <brk id="47" max="9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6" tint="-0.249977111117893"/>
  </sheetPr>
  <dimension ref="A1:AE109"/>
  <sheetViews>
    <sheetView zoomScale="70" zoomScaleNormal="70" zoomScaleSheetLayoutView="140" workbookViewId="0">
      <pane xSplit="2" ySplit="1" topLeftCell="C2" activePane="bottomRight" state="frozen"/>
      <selection activeCell="T1" sqref="T1:T97"/>
      <selection pane="topRight" activeCell="T1" sqref="T1:T97"/>
      <selection pane="bottomLeft" activeCell="T1" sqref="T1:T97"/>
      <selection pane="bottomRight" activeCell="T1" sqref="T1:T97"/>
    </sheetView>
  </sheetViews>
  <sheetFormatPr defaultRowHeight="15" x14ac:dyDescent="0.25"/>
  <cols>
    <col min="1" max="1" width="59" style="67" customWidth="1"/>
    <col min="2" max="2" width="3.7109375" style="8" hidden="1" customWidth="1"/>
    <col min="3" max="8" width="4.7109375" style="4" hidden="1" customWidth="1"/>
    <col min="9" max="9" width="3.7109375" style="5" hidden="1" customWidth="1"/>
    <col min="10" max="10" width="6.85546875" style="10" hidden="1" customWidth="1"/>
    <col min="11" max="13" width="5.85546875" style="73" hidden="1" customWidth="1"/>
    <col min="14" max="14" width="28.42578125" style="7" hidden="1" customWidth="1"/>
    <col min="15" max="15" width="13.28515625" style="7" hidden="1" customWidth="1"/>
    <col min="16" max="17" width="10.7109375" style="7" hidden="1" customWidth="1"/>
    <col min="18" max="18" width="7.5703125" style="7" customWidth="1"/>
    <col min="19" max="20" width="14" style="7" customWidth="1"/>
    <col min="21" max="21" width="11.85546875" style="7" customWidth="1"/>
    <col min="22" max="16384" width="9.140625" style="7"/>
  </cols>
  <sheetData>
    <row r="1" spans="1:31" s="3" customFormat="1" x14ac:dyDescent="0.25">
      <c r="A1" s="69" t="s">
        <v>81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" t="s">
        <v>578</v>
      </c>
      <c r="T1" s="1" t="s">
        <v>629</v>
      </c>
      <c r="U1" s="111" t="s">
        <v>577</v>
      </c>
      <c r="V1" s="3" t="s">
        <v>255</v>
      </c>
      <c r="W1" s="3" t="s">
        <v>265</v>
      </c>
      <c r="X1" s="3" t="s">
        <v>253</v>
      </c>
      <c r="Y1" s="3" t="s">
        <v>263</v>
      </c>
      <c r="Z1" s="3" t="s">
        <v>272</v>
      </c>
      <c r="AA1" s="3" t="s">
        <v>406</v>
      </c>
      <c r="AB1" s="3" t="s">
        <v>573</v>
      </c>
      <c r="AC1" s="3" t="s">
        <v>607</v>
      </c>
      <c r="AD1" s="7" t="s">
        <v>575</v>
      </c>
      <c r="AE1" s="7" t="s">
        <v>576</v>
      </c>
    </row>
    <row r="2" spans="1:31" x14ac:dyDescent="0.25">
      <c r="A2" s="69" t="s">
        <v>10</v>
      </c>
      <c r="B2" s="1"/>
      <c r="J2" s="6">
        <v>1</v>
      </c>
      <c r="L2" s="73">
        <v>1</v>
      </c>
      <c r="O2" s="3">
        <f ca="1">YEAR(TODAY())</f>
        <v>2013</v>
      </c>
      <c r="P2" s="3">
        <f ca="1">O2-(AVERAGEIFS(P:P,L:L,"&gt;0",Q:Q,"ОТД"))</f>
        <v>54.625</v>
      </c>
      <c r="T2" s="7">
        <f ca="1">YEAR(TODAY())</f>
        <v>2013</v>
      </c>
      <c r="V2" s="7">
        <f ca="1">COUNTIFS(P:P,"&gt;1900",R:R,"СПЕ")</f>
        <v>15</v>
      </c>
      <c r="W2" s="7">
        <f ca="1">COUNTIFS(P:P,"&gt;1900",R:R,"ОФД")</f>
        <v>10</v>
      </c>
      <c r="X2" s="7">
        <f ca="1">COUNTIFS(P:P,"&gt;1900",R:R,"ПЕД")</f>
        <v>4</v>
      </c>
      <c r="Y2" s="7">
        <f>COUNTIF(R:R,"ПРА")</f>
        <v>3</v>
      </c>
      <c r="Z2" s="7">
        <f>COUNTIF(R:R,"ИЗБ")</f>
        <v>4</v>
      </c>
      <c r="AA2" s="7">
        <f>COUNTIF(R:R,"ФД")</f>
        <v>4</v>
      </c>
      <c r="AB2" s="7">
        <f ca="1">SUBTOTAL(9,V2:AA2)</f>
        <v>40</v>
      </c>
      <c r="AC2" s="7">
        <f ca="1">V2/AB2</f>
        <v>0.375</v>
      </c>
      <c r="AD2" s="7">
        <f>(COUNTIFS(N:N,"проф.*",Q:Q,"ОТД")+COUNTIFS(N:N,"доц.*",Q:Q,"ОТД"))/COUNTIF(Q:Q,"ОТД")</f>
        <v>0.78125</v>
      </c>
      <c r="AE2" s="7">
        <f ca="1">COUNTIF(S:S,"У")/V2</f>
        <v>0</v>
      </c>
    </row>
    <row r="3" spans="1:31" x14ac:dyDescent="0.25">
      <c r="A3" s="67" t="s">
        <v>11</v>
      </c>
      <c r="B3" s="4">
        <v>30</v>
      </c>
      <c r="C3" s="4">
        <v>30</v>
      </c>
      <c r="D3" s="4">
        <v>30</v>
      </c>
      <c r="E3" s="4">
        <v>0</v>
      </c>
      <c r="F3" s="4">
        <v>0</v>
      </c>
      <c r="G3" s="4">
        <f>H3-C3</f>
        <v>60</v>
      </c>
      <c r="H3" s="4">
        <f t="shared" ref="H3:H10" si="0">I3*30</f>
        <v>90</v>
      </c>
      <c r="I3" s="4">
        <v>3</v>
      </c>
      <c r="J3" s="4" t="s">
        <v>12</v>
      </c>
      <c r="K3" s="73">
        <f t="shared" ref="K3:K34" si="1">SUMIF(A:A,A3,C:C)</f>
        <v>30</v>
      </c>
      <c r="L3" s="73">
        <f t="shared" ref="L3:L34" si="2">SUMIF(A:A,A3,D:D)</f>
        <v>30</v>
      </c>
      <c r="M3" s="73">
        <f t="shared" ref="M3:M34" si="3">SUMIF(A:A,A3,E:E)+SUMIF(A:A,A3,F:F)</f>
        <v>0</v>
      </c>
      <c r="N3" s="7" t="str">
        <f>IF(O3=""," ",VLOOKUP(O3,'[8]2012 личен състав ОТД'!$A:$AO,2,FALSE))</f>
        <v>доц. д-р Красимира Кръстанова</v>
      </c>
      <c r="O3" s="3" t="str">
        <f>IF(A3=""," ",VLOOKUP(A3,'Български и английски език'!A:O,15,FALSE))</f>
        <v>кръстанова</v>
      </c>
      <c r="P3" s="7">
        <f>IF(O3=""," ",VLOOKUP(O3,'[8]2012 личен състав ОТД'!$A:$AO,13,FALSE))</f>
        <v>1958</v>
      </c>
      <c r="Q3" s="7" t="str">
        <f>IF(O3=""," ",VLOOKUP(O3,'[8]2012 личен състав ОТД'!$A:$AO,12,FALSE))</f>
        <v>ОТД</v>
      </c>
      <c r="R3" s="7" t="str">
        <f>IF(A3=""," ",VLOOKUP(A3,'Профилиращ лист'!A:B,2,FALSE))</f>
        <v>СПЕ</v>
      </c>
      <c r="T3" s="7">
        <f t="shared" ref="T3:T34" ca="1" si="4">Години-P3</f>
        <v>55</v>
      </c>
    </row>
    <row r="4" spans="1:31" ht="18" hidden="1" customHeight="1" x14ac:dyDescent="0.25">
      <c r="A4" s="8" t="s">
        <v>13</v>
      </c>
      <c r="B4" s="4">
        <v>45</v>
      </c>
      <c r="C4" s="4">
        <v>45</v>
      </c>
      <c r="D4" s="4">
        <v>15</v>
      </c>
      <c r="E4" s="4">
        <v>30</v>
      </c>
      <c r="F4" s="4">
        <v>0</v>
      </c>
      <c r="G4" s="4">
        <f t="shared" ref="G4:G10" si="5">H4-C4</f>
        <v>75</v>
      </c>
      <c r="H4" s="4">
        <f t="shared" si="0"/>
        <v>120</v>
      </c>
      <c r="I4" s="4">
        <v>4</v>
      </c>
      <c r="J4" s="4" t="s">
        <v>14</v>
      </c>
      <c r="K4" s="73">
        <f t="shared" si="1"/>
        <v>90</v>
      </c>
      <c r="L4" s="73">
        <f t="shared" si="2"/>
        <v>30</v>
      </c>
      <c r="M4" s="73">
        <f t="shared" si="3"/>
        <v>60</v>
      </c>
      <c r="N4" s="7" t="str">
        <f>IF(O4=""," ",VLOOKUP(O4,'[8]2012 личен състав ОТД'!$A:$AO,2,FALSE))</f>
        <v xml:space="preserve">   </v>
      </c>
      <c r="O4" s="3">
        <f>IF(A4=""," ",VLOOKUP(A4,'Български и английски език'!A:O,15,FALSE))</f>
        <v>0</v>
      </c>
      <c r="P4" s="7">
        <f>IF(O4=""," ",VLOOKUP(O4,'[8]2012 личен състав ОТД'!$A:$AO,13,FALSE))</f>
        <v>0</v>
      </c>
      <c r="Q4" s="7">
        <f>IF(O4=""," ",VLOOKUP(O4,'[8]2012 личен състав ОТД'!$A:$AO,12,FALSE))</f>
        <v>0</v>
      </c>
      <c r="R4" s="7" t="str">
        <f>IF(A4=""," ",VLOOKUP(A4,'Профилиращ лист'!A:B,2,FALSE))</f>
        <v>ОФД</v>
      </c>
      <c r="T4" s="7">
        <f t="shared" ca="1" si="4"/>
        <v>2013</v>
      </c>
      <c r="V4" s="7">
        <f>COUNTIF(N:N,"проф.*")</f>
        <v>7</v>
      </c>
      <c r="W4" s="7">
        <f>COUNTIF(N:N,"доц.*")</f>
        <v>22</v>
      </c>
      <c r="X4" s="7">
        <f>COUNTIF(N:N,"*ас. д-р*")</f>
        <v>6</v>
      </c>
      <c r="Y4" s="7">
        <f>COUNTIF(N:N,"гл. ас.*")-X4</f>
        <v>1</v>
      </c>
      <c r="Z4" s="7">
        <f>COUNTIF(N:N,"ас.*")</f>
        <v>1</v>
      </c>
      <c r="AA4" s="7">
        <f>SUM(V4:Z4)</f>
        <v>37</v>
      </c>
    </row>
    <row r="5" spans="1:31" ht="18" hidden="1" customHeight="1" x14ac:dyDescent="0.25">
      <c r="A5" s="8" t="s">
        <v>140</v>
      </c>
      <c r="B5" s="4">
        <v>90</v>
      </c>
      <c r="C5" s="4">
        <v>90</v>
      </c>
      <c r="D5" s="4">
        <v>0</v>
      </c>
      <c r="E5" s="4">
        <v>0</v>
      </c>
      <c r="F5" s="4">
        <v>90</v>
      </c>
      <c r="G5" s="4">
        <f t="shared" si="5"/>
        <v>120</v>
      </c>
      <c r="H5" s="4">
        <f t="shared" si="0"/>
        <v>210</v>
      </c>
      <c r="I5" s="4">
        <v>7</v>
      </c>
      <c r="J5" s="4" t="s">
        <v>14</v>
      </c>
      <c r="K5" s="73">
        <f t="shared" si="1"/>
        <v>735</v>
      </c>
      <c r="L5" s="73">
        <f t="shared" si="2"/>
        <v>0</v>
      </c>
      <c r="M5" s="73">
        <f t="shared" si="3"/>
        <v>735</v>
      </c>
      <c r="N5" s="7" t="e">
        <f>IF(O5=""," ",VLOOKUP(O5,'[8]2012 личен състав ОТД'!$A:$AO,2,FALSE))</f>
        <v>#N/A</v>
      </c>
      <c r="O5" s="3" t="e">
        <f>IF(A5=""," ",VLOOKUP(A5,'Български и английски език'!A:O,15,FALSE))</f>
        <v>#N/A</v>
      </c>
      <c r="P5" s="7" t="e">
        <f>IF(O5=""," ",VLOOKUP(O5,'[8]2012 личен състав ОТД'!$A:$AO,13,FALSE))</f>
        <v>#N/A</v>
      </c>
      <c r="Q5" s="7" t="e">
        <f>IF(O5=""," ",VLOOKUP(O5,'[8]2012 личен състав ОТД'!$A:$AO,12,FALSE))</f>
        <v>#N/A</v>
      </c>
      <c r="R5" s="7" t="e">
        <f>IF(A5=""," ",VLOOKUP(A5,'Профилиращ лист'!A:B,2,FALSE))</f>
        <v>#N/A</v>
      </c>
      <c r="T5" s="7" t="e">
        <f t="shared" ca="1" si="4"/>
        <v>#N/A</v>
      </c>
    </row>
    <row r="6" spans="1:31" x14ac:dyDescent="0.25">
      <c r="A6" s="67" t="s">
        <v>141</v>
      </c>
      <c r="B6" s="4">
        <v>15</v>
      </c>
      <c r="C6" s="4">
        <v>30</v>
      </c>
      <c r="D6" s="4">
        <v>30</v>
      </c>
      <c r="E6" s="4">
        <v>0</v>
      </c>
      <c r="F6" s="4">
        <v>0</v>
      </c>
      <c r="G6" s="4">
        <f t="shared" si="5"/>
        <v>90</v>
      </c>
      <c r="H6" s="4">
        <f t="shared" si="0"/>
        <v>120</v>
      </c>
      <c r="I6" s="4">
        <v>4</v>
      </c>
      <c r="J6" s="4" t="s">
        <v>12</v>
      </c>
      <c r="K6" s="73">
        <f t="shared" si="1"/>
        <v>30</v>
      </c>
      <c r="L6" s="73">
        <f t="shared" si="2"/>
        <v>30</v>
      </c>
      <c r="M6" s="73">
        <f t="shared" si="3"/>
        <v>0</v>
      </c>
      <c r="N6" s="7" t="str">
        <f>IF(O6=""," ",VLOOKUP(O6,'[8]2012 личен състав ОТД'!$A:$AO,2,FALSE))</f>
        <v>гл. ас. д-р Веселка Ненкова</v>
      </c>
      <c r="O6" s="3" t="s">
        <v>503</v>
      </c>
      <c r="P6" s="7">
        <f>IF(O6=""," ",VLOOKUP(O6,'[8]2012 личен състав ОТД'!$A:$AO,13,FALSE))</f>
        <v>1972</v>
      </c>
      <c r="Q6" s="7" t="str">
        <f>IF(O6=""," ",VLOOKUP(O6,'[8]2012 личен състав ОТД'!$A:$AO,12,FALSE))</f>
        <v>ОТД</v>
      </c>
      <c r="R6" s="7" t="s">
        <v>272</v>
      </c>
      <c r="T6" s="7">
        <f t="shared" ca="1" si="4"/>
        <v>41</v>
      </c>
    </row>
    <row r="7" spans="1:31" ht="18" hidden="1" customHeight="1" x14ac:dyDescent="0.25">
      <c r="A7" s="8" t="s">
        <v>21</v>
      </c>
      <c r="B7" s="4">
        <v>15</v>
      </c>
      <c r="C7" s="4">
        <v>30</v>
      </c>
      <c r="D7" s="4">
        <v>0</v>
      </c>
      <c r="E7" s="4">
        <v>0</v>
      </c>
      <c r="F7" s="4">
        <v>30</v>
      </c>
      <c r="G7" s="4">
        <f t="shared" si="5"/>
        <v>30</v>
      </c>
      <c r="H7" s="4">
        <f t="shared" si="0"/>
        <v>60</v>
      </c>
      <c r="I7" s="4">
        <v>2</v>
      </c>
      <c r="J7" s="4" t="s">
        <v>18</v>
      </c>
      <c r="K7" s="73">
        <f t="shared" si="1"/>
        <v>30</v>
      </c>
      <c r="L7" s="73">
        <f t="shared" si="2"/>
        <v>0</v>
      </c>
      <c r="M7" s="73">
        <f t="shared" si="3"/>
        <v>30</v>
      </c>
      <c r="N7" s="7" t="str">
        <f>IF(O7=""," ",VLOOKUP(O7,'[8]2012 личен състав ОТД'!$A:$AO,2,FALSE))</f>
        <v xml:space="preserve">   </v>
      </c>
      <c r="O7" s="3">
        <f>IF(A7=""," ",VLOOKUP(A7,'Български и английски език'!A:O,15,FALSE))</f>
        <v>0</v>
      </c>
      <c r="P7" s="7">
        <f>IF(O7=""," ",VLOOKUP(O7,'[8]2012 личен състав ОТД'!$A:$AO,13,FALSE))</f>
        <v>0</v>
      </c>
      <c r="Q7" s="7">
        <f>IF(O7=""," ",VLOOKUP(O7,'[8]2012 личен състав ОТД'!$A:$AO,12,FALSE))</f>
        <v>0</v>
      </c>
      <c r="R7" s="7" t="str">
        <f>IF(A7=""," ",VLOOKUP(A7,'Профилиращ лист'!A:B,2,FALSE))</f>
        <v>ФД</v>
      </c>
      <c r="T7" s="7">
        <f t="shared" ca="1" si="4"/>
        <v>2013</v>
      </c>
    </row>
    <row r="8" spans="1:31" ht="18" hidden="1" customHeight="1" x14ac:dyDescent="0.25">
      <c r="A8" s="8" t="s">
        <v>28</v>
      </c>
      <c r="B8" s="4">
        <v>15</v>
      </c>
      <c r="C8" s="4">
        <v>15</v>
      </c>
      <c r="D8" s="4">
        <v>0</v>
      </c>
      <c r="E8" s="4">
        <v>0</v>
      </c>
      <c r="F8" s="4">
        <v>15</v>
      </c>
      <c r="G8" s="4">
        <f t="shared" si="5"/>
        <v>45</v>
      </c>
      <c r="H8" s="4">
        <f t="shared" si="0"/>
        <v>60</v>
      </c>
      <c r="I8" s="4">
        <v>2</v>
      </c>
      <c r="J8" s="4" t="s">
        <v>18</v>
      </c>
      <c r="K8" s="73">
        <f t="shared" si="1"/>
        <v>15</v>
      </c>
      <c r="L8" s="73">
        <f t="shared" si="2"/>
        <v>0</v>
      </c>
      <c r="M8" s="73">
        <f t="shared" si="3"/>
        <v>15</v>
      </c>
      <c r="N8" s="7" t="str">
        <f>IF(O8=""," ",VLOOKUP(O8,'[8]2012 личен състав ОТД'!$A:$AO,2,FALSE))</f>
        <v xml:space="preserve">   </v>
      </c>
      <c r="O8" s="3">
        <f>IF(A8=""," ",VLOOKUP(A8,'Български и английски език'!A:O,15,FALSE))</f>
        <v>0</v>
      </c>
      <c r="P8" s="7">
        <f>IF(O8=""," ",VLOOKUP(O8,'[8]2012 личен състав ОТД'!$A:$AO,13,FALSE))</f>
        <v>0</v>
      </c>
      <c r="Q8" s="7">
        <f>IF(O8=""," ",VLOOKUP(O8,'[8]2012 личен състав ОТД'!$A:$AO,12,FALSE))</f>
        <v>0</v>
      </c>
      <c r="R8" s="7" t="str">
        <f>IF(A8=""," ",VLOOKUP(A8,'Профилиращ лист'!A:B,2,FALSE))</f>
        <v>ПЕД</v>
      </c>
      <c r="T8" s="7">
        <f t="shared" ca="1" si="4"/>
        <v>2013</v>
      </c>
    </row>
    <row r="9" spans="1:31" x14ac:dyDescent="0.25">
      <c r="A9" s="67" t="s">
        <v>19</v>
      </c>
      <c r="B9" s="4">
        <v>45</v>
      </c>
      <c r="C9" s="4">
        <v>60</v>
      </c>
      <c r="D9" s="4">
        <v>45</v>
      </c>
      <c r="E9" s="4">
        <v>15</v>
      </c>
      <c r="F9" s="4">
        <v>0</v>
      </c>
      <c r="G9" s="4">
        <f t="shared" si="5"/>
        <v>60</v>
      </c>
      <c r="H9" s="4">
        <f t="shared" si="0"/>
        <v>120</v>
      </c>
      <c r="I9" s="4">
        <v>4</v>
      </c>
      <c r="J9" s="4" t="s">
        <v>12</v>
      </c>
      <c r="K9" s="73">
        <f t="shared" si="1"/>
        <v>60</v>
      </c>
      <c r="L9" s="73">
        <f t="shared" si="2"/>
        <v>45</v>
      </c>
      <c r="M9" s="73">
        <f t="shared" si="3"/>
        <v>15</v>
      </c>
      <c r="N9" s="7" t="str">
        <f>IF(O9=""," ",VLOOKUP(O9,'[8]2012 личен състав ОТД'!$A:$AO,2,FALSE))</f>
        <v>доц. д-р Атанас Бучков</v>
      </c>
      <c r="O9" s="3" t="str">
        <f>IF(A9=""," ",VLOOKUP(A9,'Български и английски език'!A:O,15,FALSE))</f>
        <v>бучков</v>
      </c>
      <c r="P9" s="7">
        <f>IF(O9=""," ",VLOOKUP(O9,'[8]2012 личен състав ОТД'!$A:$AO,13,FALSE))</f>
        <v>1949</v>
      </c>
      <c r="Q9" s="7" t="str">
        <f>IF(O9=""," ",VLOOKUP(O9,'[8]2012 личен състав ОТД'!$A:$AO,12,FALSE))</f>
        <v>ОТД</v>
      </c>
      <c r="R9" s="7" t="str">
        <f>IF(A9=""," ",VLOOKUP(A9,'Профилиращ лист'!A:B,2,FALSE))</f>
        <v>ОФД</v>
      </c>
      <c r="T9" s="7">
        <f t="shared" ca="1" si="4"/>
        <v>64</v>
      </c>
    </row>
    <row r="10" spans="1:31" x14ac:dyDescent="0.25">
      <c r="A10" s="67" t="s">
        <v>20</v>
      </c>
      <c r="B10" s="4">
        <v>45</v>
      </c>
      <c r="C10" s="4">
        <v>60</v>
      </c>
      <c r="D10" s="4">
        <v>45</v>
      </c>
      <c r="E10" s="4">
        <v>15</v>
      </c>
      <c r="F10" s="4">
        <v>0</v>
      </c>
      <c r="G10" s="4">
        <f t="shared" si="5"/>
        <v>60</v>
      </c>
      <c r="H10" s="4">
        <f t="shared" si="0"/>
        <v>120</v>
      </c>
      <c r="I10" s="4">
        <v>4</v>
      </c>
      <c r="J10" s="4" t="s">
        <v>12</v>
      </c>
      <c r="K10" s="73">
        <f t="shared" si="1"/>
        <v>60</v>
      </c>
      <c r="L10" s="73">
        <f t="shared" si="2"/>
        <v>45</v>
      </c>
      <c r="M10" s="73">
        <f t="shared" si="3"/>
        <v>15</v>
      </c>
      <c r="N10" s="7" t="str">
        <f>IF(O10=""," ",VLOOKUP(O10,'[8]2012 личен състав ОТД'!$A:$AO,2,FALSE))</f>
        <v>доц. д-р Иван Чобанов</v>
      </c>
      <c r="O10" s="3" t="str">
        <f>IF(A10=""," ",VLOOKUP(A10,'Български и английски език'!A:O,15,FALSE))</f>
        <v>чобанов</v>
      </c>
      <c r="P10" s="7">
        <f>IF(O10=""," ",VLOOKUP(O10,'[8]2012 личен състав ОТД'!$A:$AO,13,FALSE))</f>
        <v>1949</v>
      </c>
      <c r="Q10" s="7" t="str">
        <f>IF(O10=""," ",VLOOKUP(O10,'[8]2012 личен състав ОТД'!$A:$AO,12,FALSE))</f>
        <v>ОТД</v>
      </c>
      <c r="R10" s="7" t="str">
        <f>IF(A10=""," ",VLOOKUP(A10,'Профилиращ лист'!A:B,2,FALSE))</f>
        <v>ОФД</v>
      </c>
      <c r="T10" s="7">
        <f t="shared" ca="1" si="4"/>
        <v>64</v>
      </c>
    </row>
    <row r="11" spans="1:31" ht="18" hidden="1" customHeight="1" x14ac:dyDescent="0.25">
      <c r="A11" s="8"/>
      <c r="B11" s="9">
        <f>SUM(B3:B10)</f>
        <v>300</v>
      </c>
      <c r="C11" s="9">
        <f>SUM(C3:C10)</f>
        <v>360</v>
      </c>
      <c r="D11" s="9">
        <f t="shared" ref="D11:I11" si="6">SUM(D3:D10)</f>
        <v>165</v>
      </c>
      <c r="E11" s="9">
        <f t="shared" si="6"/>
        <v>60</v>
      </c>
      <c r="F11" s="9">
        <f t="shared" si="6"/>
        <v>135</v>
      </c>
      <c r="G11" s="9">
        <f t="shared" si="6"/>
        <v>540</v>
      </c>
      <c r="H11" s="9">
        <f t="shared" si="6"/>
        <v>900</v>
      </c>
      <c r="I11" s="9">
        <f t="shared" si="6"/>
        <v>30</v>
      </c>
      <c r="J11" s="6"/>
      <c r="K11" s="73">
        <f t="shared" si="1"/>
        <v>0</v>
      </c>
      <c r="L11" s="73">
        <f t="shared" si="2"/>
        <v>0</v>
      </c>
      <c r="M11" s="73">
        <f t="shared" si="3"/>
        <v>0</v>
      </c>
      <c r="N11" s="7" t="e">
        <f>IF(O11=""," ",VLOOKUP(O11,'[8]2012 личен състав ОТД'!$A:$AO,2,FALSE))</f>
        <v>#N/A</v>
      </c>
      <c r="O11" s="3" t="str">
        <f>IF(A11=""," ",VLOOKUP(A11,'Български и английски език'!A:O,15,FALSE))</f>
        <v xml:space="preserve"> </v>
      </c>
      <c r="P11" s="7" t="e">
        <f>IF(O11=""," ",VLOOKUP(O11,'[8]2012 личен състав ОТД'!$A:$AO,13,FALSE))</f>
        <v>#N/A</v>
      </c>
      <c r="Q11" s="7" t="e">
        <f>IF(O11=""," ",VLOOKUP(O11,'[8]2012 личен състав ОТД'!$A:$AO,12,FALSE))</f>
        <v>#N/A</v>
      </c>
      <c r="R11" s="7" t="str">
        <f>IF(A11=""," ",VLOOKUP(A11,'Профилиращ лист'!A:B,2,FALSE))</f>
        <v xml:space="preserve"> </v>
      </c>
      <c r="T11" s="7" t="e">
        <f t="shared" ca="1" si="4"/>
        <v>#N/A</v>
      </c>
    </row>
    <row r="12" spans="1:31" ht="18" hidden="1" customHeight="1" x14ac:dyDescent="0.25">
      <c r="A12" s="1" t="s">
        <v>22</v>
      </c>
      <c r="B12" s="1"/>
      <c r="J12" s="6"/>
      <c r="K12" s="73">
        <f t="shared" si="1"/>
        <v>0</v>
      </c>
      <c r="L12" s="73">
        <f t="shared" si="2"/>
        <v>0</v>
      </c>
      <c r="M12" s="73">
        <f t="shared" si="3"/>
        <v>0</v>
      </c>
      <c r="N12" s="7" t="str">
        <f>IF(O12=""," ",VLOOKUP(O12,'[8]2012 личен състав ОТД'!$A:$AO,2,FALSE))</f>
        <v xml:space="preserve">   </v>
      </c>
      <c r="O12" s="3">
        <f>IF(A12=""," ",VLOOKUP(A12,'Български и английски език'!A:O,15,FALSE))</f>
        <v>0</v>
      </c>
      <c r="P12" s="7">
        <f>IF(O12=""," ",VLOOKUP(O12,'[8]2012 личен състав ОТД'!$A:$AO,13,FALSE))</f>
        <v>0</v>
      </c>
      <c r="Q12" s="7">
        <f>IF(O12=""," ",VLOOKUP(O12,'[8]2012 личен състав ОТД'!$A:$AO,12,FALSE))</f>
        <v>0</v>
      </c>
      <c r="R12" s="7" t="e">
        <f>IF(A12=""," ",VLOOKUP(A12,'Профилиращ лист'!A:B,2,FALSE))</f>
        <v>#N/A</v>
      </c>
      <c r="T12" s="7">
        <f t="shared" ca="1" si="4"/>
        <v>2013</v>
      </c>
    </row>
    <row r="13" spans="1:31" ht="18" hidden="1" customHeight="1" x14ac:dyDescent="0.25">
      <c r="A13" s="8" t="s">
        <v>115</v>
      </c>
      <c r="B13" s="4">
        <v>15</v>
      </c>
      <c r="C13" s="4">
        <v>30</v>
      </c>
      <c r="D13" s="4">
        <v>0</v>
      </c>
      <c r="E13" s="4">
        <v>30</v>
      </c>
      <c r="F13" s="4">
        <v>0</v>
      </c>
      <c r="G13" s="4">
        <f>H13-C13</f>
        <v>60</v>
      </c>
      <c r="H13" s="4">
        <f t="shared" ref="H13:H19" si="7">I13*30</f>
        <v>90</v>
      </c>
      <c r="I13" s="4">
        <v>3</v>
      </c>
      <c r="J13" s="4" t="s">
        <v>18</v>
      </c>
      <c r="K13" s="73">
        <f t="shared" si="1"/>
        <v>30</v>
      </c>
      <c r="L13" s="73">
        <f t="shared" si="2"/>
        <v>0</v>
      </c>
      <c r="M13" s="73">
        <f t="shared" si="3"/>
        <v>30</v>
      </c>
      <c r="N13" s="7" t="e">
        <f>IF(O13=""," ",VLOOKUP(O13,'[8]2012 личен състав ОТД'!$A:$AO,2,FALSE))</f>
        <v>#N/A</v>
      </c>
      <c r="O13" s="3" t="e">
        <f>IF(A13=""," ",VLOOKUP(A13,'Български и английски език'!A:O,15,FALSE))</f>
        <v>#N/A</v>
      </c>
      <c r="P13" s="7" t="e">
        <f>IF(O13=""," ",VLOOKUP(O13,'[8]2012 личен състав ОТД'!$A:$AO,13,FALSE))</f>
        <v>#N/A</v>
      </c>
      <c r="Q13" s="7" t="e">
        <f>IF(O13=""," ",VLOOKUP(O13,'[8]2012 личен състав ОТД'!$A:$AO,12,FALSE))</f>
        <v>#N/A</v>
      </c>
      <c r="R13" s="7" t="s">
        <v>272</v>
      </c>
      <c r="T13" s="7" t="e">
        <f t="shared" ca="1" si="4"/>
        <v>#N/A</v>
      </c>
    </row>
    <row r="14" spans="1:31" x14ac:dyDescent="0.25">
      <c r="A14" s="67" t="s">
        <v>23</v>
      </c>
      <c r="B14" s="4">
        <v>45</v>
      </c>
      <c r="C14" s="4">
        <v>60</v>
      </c>
      <c r="D14" s="4">
        <v>45</v>
      </c>
      <c r="E14" s="4">
        <v>15</v>
      </c>
      <c r="F14" s="4">
        <v>0</v>
      </c>
      <c r="G14" s="4">
        <f t="shared" ref="G14:G19" si="8">H14-C14</f>
        <v>90</v>
      </c>
      <c r="H14" s="4">
        <f t="shared" si="7"/>
        <v>150</v>
      </c>
      <c r="I14" s="4">
        <v>5</v>
      </c>
      <c r="J14" s="4" t="s">
        <v>12</v>
      </c>
      <c r="K14" s="73">
        <f t="shared" si="1"/>
        <v>60</v>
      </c>
      <c r="L14" s="73">
        <f t="shared" si="2"/>
        <v>45</v>
      </c>
      <c r="M14" s="73">
        <f t="shared" si="3"/>
        <v>15</v>
      </c>
      <c r="N14" s="7" t="str">
        <f>IF(O14=""," ",VLOOKUP(O14,'[8]2012 личен състав ОТД'!$A:$AO,2,FALSE))</f>
        <v>доц. д-р Мария Йовчева</v>
      </c>
      <c r="O14" s="3" t="str">
        <f>IF(A14=""," ",VLOOKUP(A14,'Български и английски език'!A:O,15,FALSE))</f>
        <v>йовчева</v>
      </c>
      <c r="P14" s="7">
        <f>IF(O14=""," ",VLOOKUP(O14,'[8]2012 личен състав ОТД'!$A:$AO,13,FALSE))</f>
        <v>1959</v>
      </c>
      <c r="Q14" s="7" t="str">
        <f>IF(O14=""," ",VLOOKUP(O14,'[8]2012 личен състав ОТД'!$A:$AO,12,FALSE))</f>
        <v>ОТД</v>
      </c>
      <c r="R14" s="7" t="str">
        <f>IF(A14=""," ",VLOOKUP(A14,'Профилиращ лист'!A:B,2,FALSE))</f>
        <v>СПЕ</v>
      </c>
      <c r="T14" s="7">
        <f t="shared" ca="1" si="4"/>
        <v>54</v>
      </c>
    </row>
    <row r="15" spans="1:31" x14ac:dyDescent="0.25">
      <c r="A15" s="67" t="s">
        <v>13</v>
      </c>
      <c r="B15" s="4">
        <v>30</v>
      </c>
      <c r="C15" s="4">
        <v>45</v>
      </c>
      <c r="D15" s="4">
        <v>15</v>
      </c>
      <c r="E15" s="4">
        <v>30</v>
      </c>
      <c r="F15" s="4">
        <v>0</v>
      </c>
      <c r="G15" s="4">
        <f t="shared" si="8"/>
        <v>75</v>
      </c>
      <c r="H15" s="4">
        <f t="shared" si="7"/>
        <v>120</v>
      </c>
      <c r="I15" s="4">
        <v>4</v>
      </c>
      <c r="J15" s="4" t="s">
        <v>12</v>
      </c>
      <c r="K15" s="73">
        <f t="shared" si="1"/>
        <v>90</v>
      </c>
      <c r="L15" s="73">
        <f t="shared" si="2"/>
        <v>30</v>
      </c>
      <c r="M15" s="73">
        <f t="shared" si="3"/>
        <v>60</v>
      </c>
      <c r="N15" s="7" t="str">
        <f>IF(O15=""," ",VLOOKUP(O15,'[8]2012 личен състав ОТД'!$A:$AO,2,FALSE))</f>
        <v>проф. д-р Пеньо Пенев</v>
      </c>
      <c r="O15" s="3" t="s">
        <v>483</v>
      </c>
      <c r="P15" s="7">
        <f>IF(O15=""," ",VLOOKUP(O15,'[8]2012 личен състав ОТД'!$A:$AO,13,FALSE))</f>
        <v>1946</v>
      </c>
      <c r="Q15" s="7" t="str">
        <f>IF(O15=""," ",VLOOKUP(O15,'[8]2012 личен състав ОТД'!$A:$AO,12,FALSE))</f>
        <v>ОТД</v>
      </c>
      <c r="R15" s="7" t="str">
        <f>IF(A15=""," ",VLOOKUP(A15,'Профилиращ лист'!A:B,2,FALSE))</f>
        <v>ОФД</v>
      </c>
      <c r="T15" s="7">
        <f t="shared" ca="1" si="4"/>
        <v>67</v>
      </c>
    </row>
    <row r="16" spans="1:31" ht="18" hidden="1" customHeight="1" x14ac:dyDescent="0.25">
      <c r="A16" s="8" t="s">
        <v>24</v>
      </c>
      <c r="B16" s="4">
        <v>30</v>
      </c>
      <c r="C16" s="4">
        <v>30</v>
      </c>
      <c r="D16" s="4">
        <v>30</v>
      </c>
      <c r="E16" s="4">
        <v>0</v>
      </c>
      <c r="F16" s="4">
        <v>0</v>
      </c>
      <c r="G16" s="4">
        <f t="shared" si="8"/>
        <v>60</v>
      </c>
      <c r="H16" s="4">
        <f t="shared" si="7"/>
        <v>90</v>
      </c>
      <c r="I16" s="4">
        <v>3</v>
      </c>
      <c r="J16" s="4" t="s">
        <v>14</v>
      </c>
      <c r="K16" s="73">
        <f t="shared" si="1"/>
        <v>60</v>
      </c>
      <c r="L16" s="73">
        <f t="shared" si="2"/>
        <v>60</v>
      </c>
      <c r="M16" s="73">
        <f t="shared" si="3"/>
        <v>0</v>
      </c>
      <c r="N16" s="7" t="str">
        <f>IF(O16=""," ",VLOOKUP(O16,'[8]2012 личен състав ОТД'!$A:$AO,2,FALSE))</f>
        <v>доц. д-р Станка Козарова</v>
      </c>
      <c r="O16" s="3" t="str">
        <f>IF(A16=""," ",VLOOKUP(A16,'Български и английски език'!A:O,15,FALSE))</f>
        <v>козарова</v>
      </c>
      <c r="P16" s="7">
        <f>IF(O16=""," ",VLOOKUP(O16,'[8]2012 личен състав ОТД'!$A:$AO,13,FALSE))</f>
        <v>1959</v>
      </c>
      <c r="Q16" s="7" t="str">
        <f>IF(O16=""," ",VLOOKUP(O16,'[8]2012 личен състав ОТД'!$A:$AO,12,FALSE))</f>
        <v>ОТД</v>
      </c>
      <c r="R16" s="7" t="str">
        <f>IF(A16=""," ",VLOOKUP(A16,'Профилиращ лист'!A:B,2,FALSE))</f>
        <v>ОФД</v>
      </c>
      <c r="T16" s="7">
        <f t="shared" ca="1" si="4"/>
        <v>54</v>
      </c>
    </row>
    <row r="17" spans="1:20" ht="18" hidden="1" customHeight="1" x14ac:dyDescent="0.25">
      <c r="A17" s="8" t="s">
        <v>140</v>
      </c>
      <c r="B17" s="4">
        <v>90</v>
      </c>
      <c r="C17" s="4">
        <v>105</v>
      </c>
      <c r="D17" s="4">
        <v>0</v>
      </c>
      <c r="E17" s="4">
        <v>0</v>
      </c>
      <c r="F17" s="4">
        <v>105</v>
      </c>
      <c r="G17" s="4">
        <f t="shared" si="8"/>
        <v>105</v>
      </c>
      <c r="H17" s="4">
        <f t="shared" si="7"/>
        <v>210</v>
      </c>
      <c r="I17" s="4">
        <v>7</v>
      </c>
      <c r="J17" s="4" t="s">
        <v>12</v>
      </c>
      <c r="K17" s="73">
        <f t="shared" si="1"/>
        <v>735</v>
      </c>
      <c r="L17" s="73">
        <f t="shared" si="2"/>
        <v>0</v>
      </c>
      <c r="M17" s="73">
        <f t="shared" si="3"/>
        <v>735</v>
      </c>
      <c r="N17" s="7" t="e">
        <f>IF(O17=""," ",VLOOKUP(O17,'[8]2012 личен състав ОТД'!$A:$AO,2,FALSE))</f>
        <v>#N/A</v>
      </c>
      <c r="O17" s="3" t="e">
        <f>IF(A17=""," ",VLOOKUP(A17,'Български и английски език'!A:O,15,FALSE))</f>
        <v>#N/A</v>
      </c>
      <c r="P17" s="7" t="e">
        <f>IF(O17=""," ",VLOOKUP(O17,'[8]2012 личен състав ОТД'!$A:$AO,13,FALSE))</f>
        <v>#N/A</v>
      </c>
      <c r="Q17" s="7" t="e">
        <f>IF(O17=""," ",VLOOKUP(O17,'[8]2012 личен състав ОТД'!$A:$AO,12,FALSE))</f>
        <v>#N/A</v>
      </c>
      <c r="R17" s="7" t="e">
        <f>IF(A17=""," ",VLOOKUP(A17,'Профилиращ лист'!A:B,2,FALSE))</f>
        <v>#N/A</v>
      </c>
      <c r="T17" s="7" t="e">
        <f t="shared" ca="1" si="4"/>
        <v>#N/A</v>
      </c>
    </row>
    <row r="18" spans="1:20" x14ac:dyDescent="0.25">
      <c r="A18" s="67" t="s">
        <v>26</v>
      </c>
      <c r="B18" s="4">
        <v>30</v>
      </c>
      <c r="C18" s="4">
        <v>45</v>
      </c>
      <c r="D18" s="4">
        <v>30</v>
      </c>
      <c r="E18" s="4">
        <v>15</v>
      </c>
      <c r="F18" s="4">
        <v>0</v>
      </c>
      <c r="G18" s="4">
        <f t="shared" si="8"/>
        <v>75</v>
      </c>
      <c r="H18" s="4">
        <f t="shared" si="7"/>
        <v>120</v>
      </c>
      <c r="I18" s="4">
        <v>4</v>
      </c>
      <c r="J18" s="4" t="s">
        <v>12</v>
      </c>
      <c r="K18" s="73">
        <f t="shared" si="1"/>
        <v>45</v>
      </c>
      <c r="L18" s="73">
        <f t="shared" si="2"/>
        <v>30</v>
      </c>
      <c r="M18" s="73">
        <f t="shared" si="3"/>
        <v>15</v>
      </c>
      <c r="N18" s="7" t="str">
        <f>IF(O18=""," ",VLOOKUP(O18,'[8]2012 личен състав ОТД'!$A:$AO,2,FALSE))</f>
        <v>доц. д-р Ваня Зидарова</v>
      </c>
      <c r="O18" s="3" t="str">
        <f>IF(A18=""," ",VLOOKUP(A18,'Български и английски език'!A:O,15,FALSE))</f>
        <v>зидарова</v>
      </c>
      <c r="P18" s="7">
        <f>IF(O18=""," ",VLOOKUP(O18,'[8]2012 личен състав ОТД'!$A:$AO,13,FALSE))</f>
        <v>1959</v>
      </c>
      <c r="Q18" s="7" t="str">
        <f>IF(O18=""," ",VLOOKUP(O18,'[8]2012 личен състав ОТД'!$A:$AO,12,FALSE))</f>
        <v>ОТД</v>
      </c>
      <c r="R18" s="7" t="str">
        <f>IF(A18=""," ",VLOOKUP(A18,'Профилиращ лист'!A:B,2,FALSE))</f>
        <v>ОФД</v>
      </c>
      <c r="T18" s="7">
        <f t="shared" ca="1" si="4"/>
        <v>54</v>
      </c>
    </row>
    <row r="19" spans="1:20" x14ac:dyDescent="0.25">
      <c r="A19" s="67" t="s">
        <v>142</v>
      </c>
      <c r="B19" s="4">
        <v>30</v>
      </c>
      <c r="C19" s="4">
        <v>45</v>
      </c>
      <c r="D19" s="4">
        <v>30</v>
      </c>
      <c r="E19" s="4">
        <v>15</v>
      </c>
      <c r="F19" s="4">
        <v>0</v>
      </c>
      <c r="G19" s="4">
        <f t="shared" si="8"/>
        <v>75</v>
      </c>
      <c r="H19" s="4">
        <f t="shared" si="7"/>
        <v>120</v>
      </c>
      <c r="I19" s="4">
        <v>4</v>
      </c>
      <c r="J19" s="4" t="s">
        <v>12</v>
      </c>
      <c r="K19" s="73">
        <f t="shared" si="1"/>
        <v>45</v>
      </c>
      <c r="L19" s="73">
        <f t="shared" si="2"/>
        <v>30</v>
      </c>
      <c r="M19" s="73">
        <f t="shared" si="3"/>
        <v>15</v>
      </c>
      <c r="N19" s="7" t="str">
        <f>IF(O19=""," ",VLOOKUP(O19,'[8]2012 личен състав ОТД'!$A:$AO,2,FALSE))</f>
        <v>проф. дфн Иван Кънчев</v>
      </c>
      <c r="O19" s="3" t="s">
        <v>504</v>
      </c>
      <c r="P19" s="7">
        <f>IF(O19=""," ",VLOOKUP(O19,'[8]2012 личен състав ОТД'!$A:$AO,13,FALSE))</f>
        <v>1935</v>
      </c>
      <c r="Q19" s="7" t="str">
        <f>IF(O19=""," ",VLOOKUP(O19,'[8]2012 личен състав ОТД'!$A:$AO,12,FALSE))</f>
        <v>ОТД</v>
      </c>
      <c r="R19" s="7" t="s">
        <v>255</v>
      </c>
      <c r="T19" s="7">
        <f t="shared" ca="1" si="4"/>
        <v>78</v>
      </c>
    </row>
    <row r="20" spans="1:20" ht="18" hidden="1" customHeight="1" x14ac:dyDescent="0.25">
      <c r="A20" s="8" t="s">
        <v>29</v>
      </c>
      <c r="B20" s="4">
        <v>30</v>
      </c>
      <c r="C20" s="4">
        <v>30</v>
      </c>
      <c r="D20" s="4">
        <v>0</v>
      </c>
      <c r="E20" s="4">
        <v>0</v>
      </c>
      <c r="F20" s="4">
        <v>30</v>
      </c>
      <c r="G20" s="4">
        <v>0</v>
      </c>
      <c r="H20" s="4">
        <v>0</v>
      </c>
      <c r="I20" s="4">
        <v>0</v>
      </c>
      <c r="J20" s="4" t="s">
        <v>14</v>
      </c>
      <c r="K20" s="73">
        <f t="shared" si="1"/>
        <v>60</v>
      </c>
      <c r="L20" s="73">
        <f t="shared" si="2"/>
        <v>0</v>
      </c>
      <c r="M20" s="73">
        <f t="shared" si="3"/>
        <v>60</v>
      </c>
      <c r="N20" s="7" t="str">
        <f>IF(O20=""," ",VLOOKUP(O20,'[8]2012 личен състав ОТД'!$A:$AO,2,FALSE))</f>
        <v xml:space="preserve">   </v>
      </c>
      <c r="O20" s="3">
        <f>IF(A20=""," ",VLOOKUP(A20,'Български и английски език'!A:O,15,FALSE))</f>
        <v>0</v>
      </c>
      <c r="P20" s="7">
        <f>IF(O20=""," ",VLOOKUP(O20,'[8]2012 личен състав ОТД'!$A:$AO,13,FALSE))</f>
        <v>0</v>
      </c>
      <c r="Q20" s="7">
        <f>IF(O20=""," ",VLOOKUP(O20,'[8]2012 личен състав ОТД'!$A:$AO,12,FALSE))</f>
        <v>0</v>
      </c>
      <c r="R20" s="7" t="str">
        <f>IF(A20=""," ",VLOOKUP(A20,'Профилиращ лист'!A:B,2,FALSE))</f>
        <v>ПЕД</v>
      </c>
      <c r="T20" s="7">
        <f t="shared" ca="1" si="4"/>
        <v>2013</v>
      </c>
    </row>
    <row r="21" spans="1:20" ht="18" hidden="1" customHeight="1" x14ac:dyDescent="0.25">
      <c r="A21" s="8"/>
      <c r="B21" s="9">
        <f t="shared" ref="B21:H21" si="9">SUM(B13:B19)</f>
        <v>270</v>
      </c>
      <c r="C21" s="9">
        <f t="shared" si="9"/>
        <v>360</v>
      </c>
      <c r="D21" s="9">
        <f t="shared" si="9"/>
        <v>150</v>
      </c>
      <c r="E21" s="9">
        <f t="shared" si="9"/>
        <v>105</v>
      </c>
      <c r="F21" s="9">
        <f t="shared" si="9"/>
        <v>105</v>
      </c>
      <c r="G21" s="9">
        <f t="shared" si="9"/>
        <v>540</v>
      </c>
      <c r="H21" s="9">
        <f t="shared" si="9"/>
        <v>900</v>
      </c>
      <c r="I21" s="9">
        <f>SUM(I13:I19)</f>
        <v>30</v>
      </c>
      <c r="J21" s="6"/>
      <c r="K21" s="73">
        <f t="shared" si="1"/>
        <v>0</v>
      </c>
      <c r="L21" s="73">
        <f t="shared" si="2"/>
        <v>0</v>
      </c>
      <c r="M21" s="73">
        <f t="shared" si="3"/>
        <v>0</v>
      </c>
      <c r="N21" s="7" t="e">
        <f>IF(O21=""," ",VLOOKUP(O21,'[8]2012 личен състав ОТД'!$A:$AO,2,FALSE))</f>
        <v>#N/A</v>
      </c>
      <c r="O21" s="3" t="str">
        <f>IF(A21=""," ",VLOOKUP(A21,'Български и английски език'!A:O,15,FALSE))</f>
        <v xml:space="preserve"> </v>
      </c>
      <c r="P21" s="7" t="e">
        <f>IF(O21=""," ",VLOOKUP(O21,'[8]2012 личен състав ОТД'!$A:$AO,13,FALSE))</f>
        <v>#N/A</v>
      </c>
      <c r="Q21" s="7" t="e">
        <f>IF(O21=""," ",VLOOKUP(O21,'[8]2012 личен състав ОТД'!$A:$AO,12,FALSE))</f>
        <v>#N/A</v>
      </c>
      <c r="R21" s="7" t="str">
        <f>IF(A21=""," ",VLOOKUP(A21,'Профилиращ лист'!A:B,2,FALSE))</f>
        <v xml:space="preserve"> </v>
      </c>
      <c r="T21" s="7" t="e">
        <f t="shared" ca="1" si="4"/>
        <v>#N/A</v>
      </c>
    </row>
    <row r="22" spans="1:20" ht="18" hidden="1" customHeight="1" x14ac:dyDescent="0.25">
      <c r="A22" s="1" t="s">
        <v>30</v>
      </c>
      <c r="B22" s="1"/>
      <c r="J22" s="6"/>
      <c r="K22" s="73">
        <f t="shared" si="1"/>
        <v>0</v>
      </c>
      <c r="L22" s="73">
        <f t="shared" si="2"/>
        <v>0</v>
      </c>
      <c r="M22" s="73">
        <f t="shared" si="3"/>
        <v>0</v>
      </c>
      <c r="N22" s="7" t="str">
        <f>IF(O22=""," ",VLOOKUP(O22,'[8]2012 личен състав ОТД'!$A:$AO,2,FALSE))</f>
        <v xml:space="preserve">   </v>
      </c>
      <c r="O22" s="3">
        <f>IF(A22=""," ",VLOOKUP(A22,'Български и английски език'!A:O,15,FALSE))</f>
        <v>0</v>
      </c>
      <c r="P22" s="7">
        <f>IF(O22=""," ",VLOOKUP(O22,'[8]2012 личен състав ОТД'!$A:$AO,13,FALSE))</f>
        <v>0</v>
      </c>
      <c r="Q22" s="7">
        <f>IF(O22=""," ",VLOOKUP(O22,'[8]2012 личен състав ОТД'!$A:$AO,12,FALSE))</f>
        <v>0</v>
      </c>
      <c r="R22" s="7" t="e">
        <f>IF(A22=""," ",VLOOKUP(A22,'Профилиращ лист'!A:B,2,FALSE))</f>
        <v>#N/A</v>
      </c>
      <c r="T22" s="7">
        <f t="shared" ca="1" si="4"/>
        <v>2013</v>
      </c>
    </row>
    <row r="23" spans="1:20" ht="18" hidden="1" customHeight="1" x14ac:dyDescent="0.25">
      <c r="A23" s="8" t="s">
        <v>31</v>
      </c>
      <c r="B23" s="4">
        <v>30</v>
      </c>
      <c r="C23" s="4">
        <v>30</v>
      </c>
      <c r="D23" s="4">
        <v>30</v>
      </c>
      <c r="E23" s="4">
        <v>0</v>
      </c>
      <c r="F23" s="4">
        <v>0</v>
      </c>
      <c r="G23" s="4">
        <f>H23-C23</f>
        <v>30</v>
      </c>
      <c r="H23" s="4">
        <f t="shared" ref="H23:H31" si="10">I23*30</f>
        <v>60</v>
      </c>
      <c r="I23" s="4">
        <v>2</v>
      </c>
      <c r="J23" s="4" t="s">
        <v>14</v>
      </c>
      <c r="K23" s="73">
        <f t="shared" si="1"/>
        <v>75</v>
      </c>
      <c r="L23" s="73">
        <f t="shared" si="2"/>
        <v>60</v>
      </c>
      <c r="M23" s="73">
        <f t="shared" si="3"/>
        <v>15</v>
      </c>
      <c r="N23" s="7" t="str">
        <f>IF(O23=""," ",VLOOKUP(O23,'[8]2012 личен състав ОТД'!$A:$AO,2,FALSE))</f>
        <v xml:space="preserve">   </v>
      </c>
      <c r="O23" s="3">
        <f>IF(A23=""," ",VLOOKUP(A23,'Български и английски език'!A:O,15,FALSE))</f>
        <v>0</v>
      </c>
      <c r="P23" s="7">
        <f>IF(O23=""," ",VLOOKUP(O23,'[8]2012 личен състав ОТД'!$A:$AO,13,FALSE))</f>
        <v>0</v>
      </c>
      <c r="Q23" s="7">
        <f>IF(O23=""," ",VLOOKUP(O23,'[8]2012 личен състав ОТД'!$A:$AO,12,FALSE))</f>
        <v>0</v>
      </c>
      <c r="R23" s="7" t="str">
        <f>IF(A23=""," ",VLOOKUP(A23,'Профилиращ лист'!A:B,2,FALSE))</f>
        <v>СПЕ</v>
      </c>
      <c r="T23" s="7">
        <f t="shared" ca="1" si="4"/>
        <v>2013</v>
      </c>
    </row>
    <row r="24" spans="1:20" ht="18" hidden="1" customHeight="1" x14ac:dyDescent="0.25">
      <c r="A24" s="8" t="s">
        <v>143</v>
      </c>
      <c r="B24" s="4">
        <v>30</v>
      </c>
      <c r="C24" s="4">
        <v>30</v>
      </c>
      <c r="D24" s="4">
        <v>15</v>
      </c>
      <c r="E24" s="4">
        <v>15</v>
      </c>
      <c r="F24" s="4">
        <v>0</v>
      </c>
      <c r="G24" s="4">
        <f t="shared" ref="G24:G31" si="11">H24-C24</f>
        <v>30</v>
      </c>
      <c r="H24" s="4">
        <f t="shared" si="10"/>
        <v>60</v>
      </c>
      <c r="I24" s="4">
        <v>2</v>
      </c>
      <c r="J24" s="4" t="s">
        <v>14</v>
      </c>
      <c r="K24" s="73">
        <f t="shared" si="1"/>
        <v>60</v>
      </c>
      <c r="L24" s="73">
        <f t="shared" si="2"/>
        <v>30</v>
      </c>
      <c r="M24" s="73">
        <f t="shared" si="3"/>
        <v>30</v>
      </c>
      <c r="N24" s="7" t="str">
        <f>IF(O24=""," ",VLOOKUP(O24,'[8]2012 личен състав ОТД'!$A:$AO,2,FALSE))</f>
        <v>доц. д-р Петър  Моллов</v>
      </c>
      <c r="O24" s="3" t="s">
        <v>505</v>
      </c>
      <c r="P24" s="7">
        <f>IF(O24=""," ",VLOOKUP(O24,'[8]2012 личен състав ОТД'!$A:$AO,13,FALSE))</f>
        <v>0</v>
      </c>
      <c r="Q24" s="7" t="str">
        <f>IF(O24=""," ",VLOOKUP(O24,'[8]2012 личен състав ОТД'!$A:$AO,12,FALSE))</f>
        <v>ХОН</v>
      </c>
      <c r="R24" s="7" t="s">
        <v>255</v>
      </c>
      <c r="T24" s="7">
        <f t="shared" ca="1" si="4"/>
        <v>2013</v>
      </c>
    </row>
    <row r="25" spans="1:20" x14ac:dyDescent="0.25">
      <c r="A25" s="67" t="s">
        <v>24</v>
      </c>
      <c r="B25" s="4">
        <v>30</v>
      </c>
      <c r="C25" s="4">
        <v>30</v>
      </c>
      <c r="D25" s="4">
        <v>30</v>
      </c>
      <c r="E25" s="4">
        <v>0</v>
      </c>
      <c r="F25" s="4">
        <v>0</v>
      </c>
      <c r="G25" s="4">
        <f t="shared" si="11"/>
        <v>30</v>
      </c>
      <c r="H25" s="4">
        <f t="shared" si="10"/>
        <v>60</v>
      </c>
      <c r="I25" s="4">
        <v>2</v>
      </c>
      <c r="J25" s="4" t="s">
        <v>12</v>
      </c>
      <c r="K25" s="73">
        <f t="shared" si="1"/>
        <v>60</v>
      </c>
      <c r="L25" s="73">
        <f t="shared" si="2"/>
        <v>60</v>
      </c>
      <c r="M25" s="73">
        <f t="shared" si="3"/>
        <v>0</v>
      </c>
      <c r="N25" s="7" t="str">
        <f>IF(O25=""," ",VLOOKUP(O25,'[8]2012 личен състав ОТД'!$A:$AO,2,FALSE))</f>
        <v>доц. д-р Станка Козарова</v>
      </c>
      <c r="O25" s="3" t="str">
        <f>IF(A25=""," ",VLOOKUP(A25,'Български и английски език'!A:O,15,FALSE))</f>
        <v>козарова</v>
      </c>
      <c r="P25" s="7">
        <f>IF(O25=""," ",VLOOKUP(O25,'[8]2012 личен състав ОТД'!$A:$AO,13,FALSE))</f>
        <v>1959</v>
      </c>
      <c r="Q25" s="7" t="str">
        <f>IF(O25=""," ",VLOOKUP(O25,'[8]2012 личен състав ОТД'!$A:$AO,12,FALSE))</f>
        <v>ОТД</v>
      </c>
      <c r="R25" s="7" t="str">
        <f>IF(A25=""," ",VLOOKUP(A25,'Профилиращ лист'!A:B,2,FALSE))</f>
        <v>ОФД</v>
      </c>
      <c r="T25" s="7">
        <f t="shared" ca="1" si="4"/>
        <v>54</v>
      </c>
    </row>
    <row r="26" spans="1:20" x14ac:dyDescent="0.25">
      <c r="A26" s="67" t="s">
        <v>144</v>
      </c>
      <c r="B26" s="4">
        <v>30</v>
      </c>
      <c r="C26" s="4">
        <v>30</v>
      </c>
      <c r="D26" s="4">
        <v>30</v>
      </c>
      <c r="E26" s="4">
        <v>0</v>
      </c>
      <c r="F26" s="4">
        <v>0</v>
      </c>
      <c r="G26" s="4">
        <f t="shared" si="11"/>
        <v>60</v>
      </c>
      <c r="H26" s="4">
        <f t="shared" si="10"/>
        <v>90</v>
      </c>
      <c r="I26" s="4">
        <v>3</v>
      </c>
      <c r="J26" s="4" t="s">
        <v>12</v>
      </c>
      <c r="K26" s="73">
        <f t="shared" si="1"/>
        <v>30</v>
      </c>
      <c r="L26" s="73">
        <f t="shared" si="2"/>
        <v>30</v>
      </c>
      <c r="M26" s="73">
        <f t="shared" si="3"/>
        <v>0</v>
      </c>
      <c r="N26" s="7" t="str">
        <f>IF(O26=""," ",VLOOKUP(O26,'[8]2012 личен състав ОТД'!$A:$AO,2,FALSE))</f>
        <v>гл. ас. д-р Веселка Ненкова</v>
      </c>
      <c r="O26" s="3" t="s">
        <v>503</v>
      </c>
      <c r="P26" s="7">
        <f>IF(O26=""," ",VLOOKUP(O26,'[8]2012 личен състав ОТД'!$A:$AO,13,FALSE))</f>
        <v>1972</v>
      </c>
      <c r="Q26" s="7" t="str">
        <f>IF(O26=""," ",VLOOKUP(O26,'[8]2012 личен състав ОТД'!$A:$AO,12,FALSE))</f>
        <v>ОТД</v>
      </c>
      <c r="R26" s="7" t="s">
        <v>272</v>
      </c>
      <c r="T26" s="7">
        <f t="shared" ca="1" si="4"/>
        <v>41</v>
      </c>
    </row>
    <row r="27" spans="1:20" x14ac:dyDescent="0.25">
      <c r="A27" s="67" t="s">
        <v>34</v>
      </c>
      <c r="B27" s="4">
        <v>60</v>
      </c>
      <c r="C27" s="4">
        <v>60</v>
      </c>
      <c r="D27" s="4">
        <v>45</v>
      </c>
      <c r="E27" s="4">
        <v>15</v>
      </c>
      <c r="F27" s="4">
        <v>0</v>
      </c>
      <c r="G27" s="4">
        <f t="shared" si="11"/>
        <v>60</v>
      </c>
      <c r="H27" s="4">
        <f t="shared" si="10"/>
        <v>120</v>
      </c>
      <c r="I27" s="4">
        <v>4</v>
      </c>
      <c r="J27" s="4" t="s">
        <v>12</v>
      </c>
      <c r="K27" s="73">
        <f t="shared" si="1"/>
        <v>60</v>
      </c>
      <c r="L27" s="73">
        <f t="shared" si="2"/>
        <v>45</v>
      </c>
      <c r="M27" s="73">
        <f t="shared" si="3"/>
        <v>15</v>
      </c>
      <c r="N27" s="7" t="str">
        <f>IF(O27=""," ",VLOOKUP(O27,'[8]2012 личен състав ОТД'!$A:$AO,2,FALSE))</f>
        <v>проф. д.п.н. Пламен Радев</v>
      </c>
      <c r="O27" s="3" t="str">
        <f>IF(A27=""," ",VLOOKUP(A27,'Български и английски език'!A:O,15,FALSE))</f>
        <v>радев</v>
      </c>
      <c r="P27" s="7">
        <f>IF(O27=""," ",VLOOKUP(O27,'[8]2012 личен състав ОТД'!$A:$AO,13,FALSE))</f>
        <v>1950</v>
      </c>
      <c r="Q27" s="7" t="str">
        <f>IF(O27=""," ",VLOOKUP(O27,'[8]2012 личен състав ОТД'!$A:$AO,12,FALSE))</f>
        <v>ОТД</v>
      </c>
      <c r="R27" s="7" t="str">
        <f>IF(A27=""," ",VLOOKUP(A27,'Профилиращ лист'!A:B,2,FALSE))</f>
        <v>ПЕД</v>
      </c>
      <c r="T27" s="7">
        <f t="shared" ca="1" si="4"/>
        <v>63</v>
      </c>
    </row>
    <row r="28" spans="1:20" ht="18" hidden="1" customHeight="1" x14ac:dyDescent="0.25">
      <c r="A28" s="8" t="s">
        <v>140</v>
      </c>
      <c r="B28" s="4">
        <v>90</v>
      </c>
      <c r="C28" s="4">
        <v>105</v>
      </c>
      <c r="D28" s="4">
        <v>0</v>
      </c>
      <c r="E28" s="4">
        <v>0</v>
      </c>
      <c r="F28" s="4">
        <v>105</v>
      </c>
      <c r="G28" s="4">
        <f t="shared" si="11"/>
        <v>135</v>
      </c>
      <c r="H28" s="4">
        <f t="shared" si="10"/>
        <v>240</v>
      </c>
      <c r="I28" s="4">
        <v>8</v>
      </c>
      <c r="J28" s="4" t="s">
        <v>14</v>
      </c>
      <c r="K28" s="73">
        <f t="shared" si="1"/>
        <v>735</v>
      </c>
      <c r="L28" s="73">
        <f t="shared" si="2"/>
        <v>0</v>
      </c>
      <c r="M28" s="73">
        <f t="shared" si="3"/>
        <v>735</v>
      </c>
      <c r="N28" s="7" t="e">
        <f>IF(O28=""," ",VLOOKUP(O28,'[8]2012 личен състав ОТД'!$A:$AO,2,FALSE))</f>
        <v>#N/A</v>
      </c>
      <c r="O28" s="3" t="e">
        <f>IF(A28=""," ",VLOOKUP(A28,'Български и английски език'!A:O,15,FALSE))</f>
        <v>#N/A</v>
      </c>
      <c r="P28" s="7" t="e">
        <f>IF(O28=""," ",VLOOKUP(O28,'[8]2012 личен състав ОТД'!$A:$AO,13,FALSE))</f>
        <v>#N/A</v>
      </c>
      <c r="Q28" s="7" t="e">
        <f>IF(O28=""," ",VLOOKUP(O28,'[8]2012 личен състав ОТД'!$A:$AO,12,FALSE))</f>
        <v>#N/A</v>
      </c>
      <c r="R28" s="7" t="e">
        <f>IF(A28=""," ",VLOOKUP(A28,'Профилиращ лист'!A:B,2,FALSE))</f>
        <v>#N/A</v>
      </c>
      <c r="T28" s="7" t="e">
        <f t="shared" ca="1" si="4"/>
        <v>#N/A</v>
      </c>
    </row>
    <row r="29" spans="1:20" x14ac:dyDescent="0.25">
      <c r="A29" s="67" t="s">
        <v>35</v>
      </c>
      <c r="B29" s="4">
        <v>45</v>
      </c>
      <c r="C29" s="4">
        <v>45</v>
      </c>
      <c r="D29" s="4">
        <v>45</v>
      </c>
      <c r="E29" s="4">
        <v>0</v>
      </c>
      <c r="F29" s="4">
        <v>0</v>
      </c>
      <c r="G29" s="4">
        <f t="shared" si="11"/>
        <v>45</v>
      </c>
      <c r="H29" s="4">
        <f t="shared" si="10"/>
        <v>90</v>
      </c>
      <c r="I29" s="4">
        <v>3</v>
      </c>
      <c r="J29" s="4" t="s">
        <v>12</v>
      </c>
      <c r="K29" s="73">
        <f t="shared" si="1"/>
        <v>45</v>
      </c>
      <c r="L29" s="73">
        <f t="shared" si="2"/>
        <v>45</v>
      </c>
      <c r="M29" s="73">
        <f t="shared" si="3"/>
        <v>0</v>
      </c>
      <c r="N29" s="7" t="str">
        <f>IF(O29=""," ",VLOOKUP(O29,'[8]2012 личен състав ОТД'!$A:$AO,2,FALSE))</f>
        <v>проф. д.п.н. Румен Стаматов</v>
      </c>
      <c r="O29" s="3" t="str">
        <f>IF(A29=""," ",VLOOKUP(A29,'Български и английски език'!A:O,15,FALSE))</f>
        <v>стаматов</v>
      </c>
      <c r="P29" s="7">
        <f>IF(O29=""," ",VLOOKUP(O29,'[8]2012 личен състав ОТД'!$A:$AO,13,FALSE))</f>
        <v>1953</v>
      </c>
      <c r="Q29" s="7" t="str">
        <f>IF(O29=""," ",VLOOKUP(O29,'[8]2012 личен състав ОТД'!$A:$AO,12,FALSE))</f>
        <v>ОТД</v>
      </c>
      <c r="R29" s="7" t="str">
        <f>IF(A29=""," ",VLOOKUP(A29,'Профилиращ лист'!A:B,2,FALSE))</f>
        <v>ПЕД</v>
      </c>
      <c r="T29" s="7">
        <f t="shared" ca="1" si="4"/>
        <v>60</v>
      </c>
    </row>
    <row r="30" spans="1:20" x14ac:dyDescent="0.25">
      <c r="A30" s="67" t="s">
        <v>37</v>
      </c>
      <c r="B30" s="4">
        <v>30</v>
      </c>
      <c r="C30" s="4">
        <v>45</v>
      </c>
      <c r="D30" s="4">
        <v>30</v>
      </c>
      <c r="E30" s="4">
        <v>15</v>
      </c>
      <c r="F30" s="4">
        <v>0</v>
      </c>
      <c r="G30" s="4">
        <f t="shared" si="11"/>
        <v>45</v>
      </c>
      <c r="H30" s="4">
        <f t="shared" si="10"/>
        <v>90</v>
      </c>
      <c r="I30" s="4">
        <v>3</v>
      </c>
      <c r="J30" s="4" t="s">
        <v>12</v>
      </c>
      <c r="K30" s="73">
        <f t="shared" si="1"/>
        <v>45</v>
      </c>
      <c r="L30" s="73">
        <f t="shared" si="2"/>
        <v>30</v>
      </c>
      <c r="M30" s="73">
        <f t="shared" si="3"/>
        <v>15</v>
      </c>
      <c r="N30" s="7" t="str">
        <f>IF(O30=""," ",VLOOKUP(O30,'[8]2012 личен състав ОТД'!$A:$AO,2,FALSE))</f>
        <v>гл. ас. д-р Иванка Гайдаджиева</v>
      </c>
      <c r="O30" s="3" t="str">
        <f>IF(A30=""," ",VLOOKUP(A30,'Български и английски език'!A:O,15,FALSE))</f>
        <v>гайдаджиева</v>
      </c>
      <c r="P30" s="7">
        <f>IF(O30=""," ",VLOOKUP(O30,'[8]2012 личен състав ОТД'!$A:$AO,13,FALSE))</f>
        <v>1958</v>
      </c>
      <c r="Q30" s="7" t="str">
        <f>IF(O30=""," ",VLOOKUP(O30,'[8]2012 личен състав ОТД'!$A:$AO,12,FALSE))</f>
        <v>ОТД</v>
      </c>
      <c r="R30" s="7" t="str">
        <f>IF(A30=""," ",VLOOKUP(A30,'Профилиращ лист'!A:B,2,FALSE))</f>
        <v>СПЕ</v>
      </c>
      <c r="T30" s="7">
        <f t="shared" ca="1" si="4"/>
        <v>55</v>
      </c>
    </row>
    <row r="31" spans="1:20" x14ac:dyDescent="0.25">
      <c r="A31" s="67" t="s">
        <v>145</v>
      </c>
      <c r="B31" s="4">
        <v>30</v>
      </c>
      <c r="C31" s="4">
        <v>45</v>
      </c>
      <c r="D31" s="4">
        <v>30</v>
      </c>
      <c r="E31" s="4">
        <v>15</v>
      </c>
      <c r="F31" s="4">
        <v>0</v>
      </c>
      <c r="G31" s="4">
        <f t="shared" si="11"/>
        <v>45</v>
      </c>
      <c r="H31" s="4">
        <f t="shared" si="10"/>
        <v>90</v>
      </c>
      <c r="I31" s="4">
        <v>3</v>
      </c>
      <c r="J31" s="4" t="s">
        <v>12</v>
      </c>
      <c r="K31" s="73">
        <f t="shared" si="1"/>
        <v>45</v>
      </c>
      <c r="L31" s="73">
        <f t="shared" si="2"/>
        <v>30</v>
      </c>
      <c r="M31" s="73">
        <f t="shared" si="3"/>
        <v>15</v>
      </c>
      <c r="N31" s="7" t="str">
        <f>IF(O31=""," ",VLOOKUP(O31,'[8]2012 личен състав ОТД'!$A:$AO,2,FALSE))</f>
        <v>гл. ас. д-р Веселка Ненкова</v>
      </c>
      <c r="O31" s="3" t="s">
        <v>503</v>
      </c>
      <c r="P31" s="7">
        <f>IF(O31=""," ",VLOOKUP(O31,'[8]2012 личен състав ОТД'!$A:$AO,13,FALSE))</f>
        <v>1972</v>
      </c>
      <c r="Q31" s="7" t="str">
        <f>IF(O31=""," ",VLOOKUP(O31,'[8]2012 личен състав ОТД'!$A:$AO,12,FALSE))</f>
        <v>ОТД</v>
      </c>
      <c r="R31" s="7" t="s">
        <v>255</v>
      </c>
      <c r="T31" s="7">
        <f t="shared" ca="1" si="4"/>
        <v>41</v>
      </c>
    </row>
    <row r="32" spans="1:20" ht="18" hidden="1" customHeight="1" x14ac:dyDescent="0.25">
      <c r="A32" s="8" t="s">
        <v>29</v>
      </c>
      <c r="B32" s="4">
        <v>30</v>
      </c>
      <c r="C32" s="4">
        <v>30</v>
      </c>
      <c r="D32" s="4">
        <v>0</v>
      </c>
      <c r="E32" s="4">
        <v>0</v>
      </c>
      <c r="F32" s="4">
        <v>30</v>
      </c>
      <c r="G32" s="4">
        <v>0</v>
      </c>
      <c r="H32" s="4">
        <v>0</v>
      </c>
      <c r="I32" s="4">
        <v>0</v>
      </c>
      <c r="J32" s="4" t="s">
        <v>14</v>
      </c>
      <c r="K32" s="73">
        <f t="shared" si="1"/>
        <v>60</v>
      </c>
      <c r="L32" s="73">
        <f t="shared" si="2"/>
        <v>0</v>
      </c>
      <c r="M32" s="73">
        <f t="shared" si="3"/>
        <v>60</v>
      </c>
      <c r="N32" s="7" t="str">
        <f>IF(O32=""," ",VLOOKUP(O32,'[8]2012 личен състав ОТД'!$A:$AO,2,FALSE))</f>
        <v xml:space="preserve">   </v>
      </c>
      <c r="O32" s="3">
        <f>IF(A32=""," ",VLOOKUP(A32,'Български и английски език'!A:O,15,FALSE))</f>
        <v>0</v>
      </c>
      <c r="P32" s="7">
        <f>IF(O32=""," ",VLOOKUP(O32,'[8]2012 личен състав ОТД'!$A:$AO,13,FALSE))</f>
        <v>0</v>
      </c>
      <c r="Q32" s="7">
        <f>IF(O32=""," ",VLOOKUP(O32,'[8]2012 личен състав ОТД'!$A:$AO,12,FALSE))</f>
        <v>0</v>
      </c>
      <c r="T32" s="7">
        <f t="shared" ca="1" si="4"/>
        <v>2013</v>
      </c>
    </row>
    <row r="33" spans="1:28" ht="18" hidden="1" customHeight="1" x14ac:dyDescent="0.25">
      <c r="A33" s="8"/>
      <c r="B33" s="9">
        <f t="shared" ref="B33:I33" si="12">SUM(B23:B31)</f>
        <v>375</v>
      </c>
      <c r="C33" s="9">
        <f t="shared" si="12"/>
        <v>420</v>
      </c>
      <c r="D33" s="9">
        <f t="shared" si="12"/>
        <v>255</v>
      </c>
      <c r="E33" s="9">
        <f t="shared" si="12"/>
        <v>60</v>
      </c>
      <c r="F33" s="9">
        <f t="shared" si="12"/>
        <v>105</v>
      </c>
      <c r="G33" s="9">
        <f t="shared" si="12"/>
        <v>480</v>
      </c>
      <c r="H33" s="9">
        <f t="shared" si="12"/>
        <v>900</v>
      </c>
      <c r="I33" s="9">
        <f t="shared" si="12"/>
        <v>30</v>
      </c>
      <c r="J33" s="6"/>
      <c r="K33" s="73">
        <f t="shared" si="1"/>
        <v>0</v>
      </c>
      <c r="L33" s="73">
        <f t="shared" si="2"/>
        <v>0</v>
      </c>
      <c r="M33" s="73">
        <f t="shared" si="3"/>
        <v>0</v>
      </c>
      <c r="N33" s="7" t="e">
        <f>IF(O33=""," ",VLOOKUP(O33,'[8]2012 личен състав ОТД'!$A:$AO,2,FALSE))</f>
        <v>#N/A</v>
      </c>
      <c r="O33" s="3" t="str">
        <f>IF(A33=""," ",VLOOKUP(A33,'Български и английски език'!A:O,15,FALSE))</f>
        <v xml:space="preserve"> </v>
      </c>
      <c r="P33" s="7" t="e">
        <f>IF(O33=""," ",VLOOKUP(O33,'[8]2012 личен състав ОТД'!$A:$AO,13,FALSE))</f>
        <v>#N/A</v>
      </c>
      <c r="Q33" s="7" t="e">
        <f>IF(O33=""," ",VLOOKUP(O33,'[8]2012 личен състав ОТД'!$A:$AO,12,FALSE))</f>
        <v>#N/A</v>
      </c>
      <c r="T33" s="7" t="e">
        <f t="shared" ca="1" si="4"/>
        <v>#N/A</v>
      </c>
    </row>
    <row r="34" spans="1:28" ht="18" hidden="1" customHeight="1" x14ac:dyDescent="0.25">
      <c r="A34" s="1" t="s">
        <v>38</v>
      </c>
      <c r="B34" s="1"/>
      <c r="I34" s="4"/>
      <c r="J34" s="6"/>
      <c r="K34" s="73">
        <f t="shared" si="1"/>
        <v>0</v>
      </c>
      <c r="L34" s="73">
        <f t="shared" si="2"/>
        <v>0</v>
      </c>
      <c r="M34" s="73">
        <f t="shared" si="3"/>
        <v>0</v>
      </c>
      <c r="N34" s="7" t="str">
        <f>IF(O34=""," ",VLOOKUP(O34,'[8]2012 личен състав ОТД'!$A:$AO,2,FALSE))</f>
        <v xml:space="preserve">   </v>
      </c>
      <c r="O34" s="3">
        <f>IF(A34=""," ",VLOOKUP(A34,'Български и английски език'!A:O,15,FALSE))</f>
        <v>0</v>
      </c>
      <c r="P34" s="7">
        <f>IF(O34=""," ",VLOOKUP(O34,'[8]2012 личен състав ОТД'!$A:$AO,13,FALSE))</f>
        <v>0</v>
      </c>
      <c r="Q34" s="7">
        <f>IF(O34=""," ",VLOOKUP(O34,'[8]2012 личен състав ОТД'!$A:$AO,12,FALSE))</f>
        <v>0</v>
      </c>
      <c r="T34" s="7">
        <f t="shared" ca="1" si="4"/>
        <v>2013</v>
      </c>
    </row>
    <row r="35" spans="1:28" ht="17.100000000000001" hidden="1" customHeight="1" x14ac:dyDescent="0.25">
      <c r="A35" s="8" t="s">
        <v>39</v>
      </c>
      <c r="B35" s="4">
        <v>45</v>
      </c>
      <c r="C35" s="4">
        <v>45</v>
      </c>
      <c r="D35" s="4">
        <v>30</v>
      </c>
      <c r="E35" s="4">
        <v>15</v>
      </c>
      <c r="F35" s="4">
        <v>0</v>
      </c>
      <c r="G35" s="4">
        <f>H35-C35</f>
        <v>75</v>
      </c>
      <c r="H35" s="4">
        <f t="shared" ref="H35:H43" si="13">I35*30</f>
        <v>120</v>
      </c>
      <c r="I35" s="4">
        <v>4</v>
      </c>
      <c r="J35" s="4" t="s">
        <v>14</v>
      </c>
      <c r="K35" s="73">
        <f t="shared" ref="K35:K66" si="14">SUMIF(A:A,A35,C:C)</f>
        <v>105</v>
      </c>
      <c r="L35" s="73">
        <f t="shared" ref="L35:L66" si="15">SUMIF(A:A,A35,D:D)</f>
        <v>60</v>
      </c>
      <c r="M35" s="73">
        <f t="shared" ref="M35:M66" si="16">SUMIF(A:A,A35,E:E)+SUMIF(A:A,A35,F:F)</f>
        <v>45</v>
      </c>
      <c r="N35" s="7" t="str">
        <f>IF(O35=""," ",VLOOKUP(O35,'[8]2012 личен състав ОТД'!$A:$AO,2,FALSE))</f>
        <v xml:space="preserve">   </v>
      </c>
      <c r="O35" s="3">
        <f>IF(A35=""," ",VLOOKUP(A35,'Български и английски език'!A:O,15,FALSE))</f>
        <v>0</v>
      </c>
      <c r="P35" s="7">
        <f>IF(O35=""," ",VLOOKUP(O35,'[8]2012 личен състав ОТД'!$A:$AO,13,FALSE))</f>
        <v>0</v>
      </c>
      <c r="Q35" s="7">
        <f>IF(O35=""," ",VLOOKUP(O35,'[8]2012 личен състав ОТД'!$A:$AO,12,FALSE))</f>
        <v>0</v>
      </c>
      <c r="R35" s="7" t="s">
        <v>265</v>
      </c>
      <c r="T35" s="7">
        <f t="shared" ref="T35:T66" ca="1" si="17">Години-P35</f>
        <v>2013</v>
      </c>
    </row>
    <row r="36" spans="1:28" x14ac:dyDescent="0.25">
      <c r="A36" s="67" t="s">
        <v>31</v>
      </c>
      <c r="B36" s="4">
        <v>30</v>
      </c>
      <c r="C36" s="4">
        <v>45</v>
      </c>
      <c r="D36" s="4">
        <v>30</v>
      </c>
      <c r="E36" s="4">
        <v>15</v>
      </c>
      <c r="F36" s="4">
        <v>0</v>
      </c>
      <c r="G36" s="4">
        <f t="shared" ref="G36:G43" si="18">H36-C36</f>
        <v>45</v>
      </c>
      <c r="H36" s="4">
        <f t="shared" si="13"/>
        <v>90</v>
      </c>
      <c r="I36" s="4">
        <v>3</v>
      </c>
      <c r="J36" s="4" t="s">
        <v>12</v>
      </c>
      <c r="K36" s="73">
        <f t="shared" si="14"/>
        <v>75</v>
      </c>
      <c r="L36" s="73">
        <f t="shared" si="15"/>
        <v>60</v>
      </c>
      <c r="M36" s="73">
        <f t="shared" si="16"/>
        <v>15</v>
      </c>
      <c r="N36" s="7" t="str">
        <f>IF(O36=""," ",VLOOKUP(O36,'[8]2012 личен състав ОТД'!$A:$AO,2,FALSE))</f>
        <v>доц. д-р Елена Гетова</v>
      </c>
      <c r="O36" s="3" t="s">
        <v>468</v>
      </c>
      <c r="P36" s="7">
        <f>IF(O36=""," ",VLOOKUP(O36,'[8]2012 личен състав ОТД'!$A:$AO,13,FALSE))</f>
        <v>1969</v>
      </c>
      <c r="Q36" s="7" t="str">
        <f>IF(O36=""," ",VLOOKUP(O36,'[8]2012 личен състав ОТД'!$A:$AO,12,FALSE))</f>
        <v>ОТД</v>
      </c>
      <c r="R36" s="7" t="str">
        <f>IF(A36=""," ",VLOOKUP(A36,'Профилиращ лист'!A:B,2,FALSE))</f>
        <v>СПЕ</v>
      </c>
      <c r="T36" s="7">
        <f t="shared" ca="1" si="17"/>
        <v>44</v>
      </c>
    </row>
    <row r="37" spans="1:28" x14ac:dyDescent="0.25">
      <c r="A37" s="67" t="s">
        <v>143</v>
      </c>
      <c r="B37" s="4">
        <v>30</v>
      </c>
      <c r="C37" s="4">
        <v>30</v>
      </c>
      <c r="D37" s="4">
        <v>15</v>
      </c>
      <c r="E37" s="4">
        <v>15</v>
      </c>
      <c r="F37" s="4">
        <v>0</v>
      </c>
      <c r="G37" s="4">
        <f t="shared" si="18"/>
        <v>60</v>
      </c>
      <c r="H37" s="4">
        <f t="shared" si="13"/>
        <v>90</v>
      </c>
      <c r="I37" s="4">
        <v>3</v>
      </c>
      <c r="J37" s="4" t="s">
        <v>12</v>
      </c>
      <c r="K37" s="73">
        <f t="shared" si="14"/>
        <v>60</v>
      </c>
      <c r="L37" s="73">
        <f t="shared" si="15"/>
        <v>30</v>
      </c>
      <c r="M37" s="73">
        <f t="shared" si="16"/>
        <v>30</v>
      </c>
      <c r="N37" s="7" t="str">
        <f>IF(O37=""," ",VLOOKUP(O37,'[8]2012 личен състав ОТД'!$A:$AO,2,FALSE))</f>
        <v>доц. д-р Петър  Моллов</v>
      </c>
      <c r="O37" s="3" t="s">
        <v>505</v>
      </c>
      <c r="P37" s="7">
        <f>IF(O37=""," ",VLOOKUP(O37,'[8]2012 личен състав ОТД'!$A:$AO,13,FALSE))</f>
        <v>0</v>
      </c>
      <c r="Q37" s="7" t="str">
        <f>IF(O37=""," ",VLOOKUP(O37,'[8]2012 личен състав ОТД'!$A:$AO,12,FALSE))</f>
        <v>ХОН</v>
      </c>
      <c r="R37" s="7" t="s">
        <v>255</v>
      </c>
      <c r="T37" s="7">
        <f t="shared" ca="1" si="17"/>
        <v>2013</v>
      </c>
    </row>
    <row r="38" spans="1:28" x14ac:dyDescent="0.25">
      <c r="A38" s="67" t="s">
        <v>40</v>
      </c>
      <c r="B38" s="8">
        <v>30</v>
      </c>
      <c r="C38" s="4">
        <v>45</v>
      </c>
      <c r="D38" s="4">
        <v>30</v>
      </c>
      <c r="E38" s="4">
        <v>15</v>
      </c>
      <c r="F38" s="4">
        <f>C38-D38-E38</f>
        <v>0</v>
      </c>
      <c r="G38" s="4">
        <f t="shared" si="18"/>
        <v>45</v>
      </c>
      <c r="H38" s="4">
        <f t="shared" si="13"/>
        <v>90</v>
      </c>
      <c r="I38" s="4">
        <v>3</v>
      </c>
      <c r="J38" s="4" t="s">
        <v>12</v>
      </c>
      <c r="K38" s="73">
        <f t="shared" si="14"/>
        <v>45</v>
      </c>
      <c r="L38" s="73">
        <f t="shared" si="15"/>
        <v>30</v>
      </c>
      <c r="M38" s="73">
        <f t="shared" si="16"/>
        <v>15</v>
      </c>
      <c r="N38" s="7" t="str">
        <f>IF(O38=""," ",VLOOKUP(O38,'[8]2012 личен състав ОТД'!$A:$AO,2,FALSE))</f>
        <v>проф. дфн Диана Иванова</v>
      </c>
      <c r="O38" s="3" t="str">
        <f>IF(A38=""," ",VLOOKUP(A38,'Български и английски език'!A:O,15,FALSE))</f>
        <v>диванова</v>
      </c>
      <c r="P38" s="7">
        <f>IF(O38=""," ",VLOOKUP(O38,'[8]2012 личен състав ОТД'!$A:$AO,13,FALSE))</f>
        <v>1950</v>
      </c>
      <c r="Q38" s="7" t="str">
        <f>IF(O38=""," ",VLOOKUP(O38,'[8]2012 личен състав ОТД'!$A:$AO,12,FALSE))</f>
        <v>ОТД</v>
      </c>
      <c r="R38" s="7" t="str">
        <f>IF(A38=""," ",VLOOKUP(A38,'Профилиращ лист'!A:B,2,FALSE))</f>
        <v>СПЕ</v>
      </c>
      <c r="T38" s="7">
        <f t="shared" ca="1" si="17"/>
        <v>63</v>
      </c>
    </row>
    <row r="39" spans="1:28" ht="17.100000000000001" hidden="1" customHeight="1" x14ac:dyDescent="0.25">
      <c r="A39" s="8" t="s">
        <v>140</v>
      </c>
      <c r="B39" s="4">
        <v>90</v>
      </c>
      <c r="C39" s="4">
        <v>75</v>
      </c>
      <c r="D39" s="4">
        <v>0</v>
      </c>
      <c r="E39" s="4">
        <v>0</v>
      </c>
      <c r="F39" s="4">
        <v>75</v>
      </c>
      <c r="G39" s="4">
        <f t="shared" si="18"/>
        <v>135</v>
      </c>
      <c r="H39" s="4">
        <f t="shared" si="13"/>
        <v>210</v>
      </c>
      <c r="I39" s="4">
        <v>7</v>
      </c>
      <c r="J39" s="4" t="s">
        <v>12</v>
      </c>
      <c r="K39" s="73">
        <f t="shared" si="14"/>
        <v>735</v>
      </c>
      <c r="L39" s="73">
        <f t="shared" si="15"/>
        <v>0</v>
      </c>
      <c r="M39" s="73">
        <f t="shared" si="16"/>
        <v>735</v>
      </c>
      <c r="N39" s="7" t="e">
        <f>IF(O39=""," ",VLOOKUP(O39,'[8]2012 личен състав ОТД'!$A:$AO,2,FALSE))</f>
        <v>#N/A</v>
      </c>
      <c r="O39" s="3" t="e">
        <f>IF(A39=""," ",VLOOKUP(A39,'Български и английски език'!A:O,15,FALSE))</f>
        <v>#N/A</v>
      </c>
      <c r="P39" s="7" t="e">
        <f>IF(O39=""," ",VLOOKUP(O39,'[8]2012 личен състав ОТД'!$A:$AO,13,FALSE))</f>
        <v>#N/A</v>
      </c>
      <c r="Q39" s="7" t="e">
        <f>IF(O39=""," ",VLOOKUP(O39,'[8]2012 личен състав ОТД'!$A:$AO,12,FALSE))</f>
        <v>#N/A</v>
      </c>
      <c r="R39" s="7" t="e">
        <f>IF(A39=""," ",VLOOKUP(A39,'Профилиращ лист'!A:B,2,FALSE))</f>
        <v>#N/A</v>
      </c>
      <c r="T39" s="7" t="e">
        <f t="shared" ca="1" si="17"/>
        <v>#N/A</v>
      </c>
    </row>
    <row r="40" spans="1:28" ht="17.100000000000001" hidden="1" customHeight="1" x14ac:dyDescent="0.25">
      <c r="A40" s="8" t="s">
        <v>27</v>
      </c>
      <c r="B40" s="4">
        <v>15</v>
      </c>
      <c r="C40" s="4">
        <v>30</v>
      </c>
      <c r="D40" s="4">
        <v>0</v>
      </c>
      <c r="E40" s="4">
        <v>0</v>
      </c>
      <c r="F40" s="4">
        <v>30</v>
      </c>
      <c r="G40" s="4">
        <f t="shared" si="18"/>
        <v>30</v>
      </c>
      <c r="H40" s="4">
        <f t="shared" si="13"/>
        <v>60</v>
      </c>
      <c r="I40" s="4">
        <v>2</v>
      </c>
      <c r="J40" s="4" t="s">
        <v>18</v>
      </c>
      <c r="K40" s="73">
        <f t="shared" si="14"/>
        <v>30</v>
      </c>
      <c r="L40" s="73">
        <f t="shared" si="15"/>
        <v>0</v>
      </c>
      <c r="M40" s="73">
        <f t="shared" si="16"/>
        <v>30</v>
      </c>
      <c r="N40" s="7" t="str">
        <f>IF(O40=""," ",VLOOKUP(O40,'[8]2012 личен състав ОТД'!$A:$AO,2,FALSE))</f>
        <v xml:space="preserve">   </v>
      </c>
      <c r="O40" s="3">
        <f>IF(A40=""," ",VLOOKUP(A40,'Български и английски език'!A:O,15,FALSE))</f>
        <v>0</v>
      </c>
      <c r="P40" s="7">
        <f>IF(O40=""," ",VLOOKUP(O40,'[8]2012 личен състав ОТД'!$A:$AO,13,FALSE))</f>
        <v>0</v>
      </c>
      <c r="Q40" s="7">
        <f>IF(O40=""," ",VLOOKUP(O40,'[8]2012 личен състав ОТД'!$A:$AO,12,FALSE))</f>
        <v>0</v>
      </c>
      <c r="R40" s="7" t="str">
        <f>IF(A40=""," ",VLOOKUP(A40,'Профилиращ лист'!A:B,2,FALSE))</f>
        <v>ФД</v>
      </c>
      <c r="T40" s="7">
        <f t="shared" ca="1" si="17"/>
        <v>2013</v>
      </c>
    </row>
    <row r="41" spans="1:28" x14ac:dyDescent="0.25">
      <c r="A41" s="67" t="s">
        <v>42</v>
      </c>
      <c r="B41" s="4">
        <v>60</v>
      </c>
      <c r="C41" s="4">
        <v>60</v>
      </c>
      <c r="D41" s="4">
        <v>60</v>
      </c>
      <c r="E41" s="4">
        <v>0</v>
      </c>
      <c r="F41" s="4">
        <v>0</v>
      </c>
      <c r="G41" s="4">
        <f t="shared" si="18"/>
        <v>60</v>
      </c>
      <c r="H41" s="4">
        <f t="shared" si="13"/>
        <v>120</v>
      </c>
      <c r="I41" s="4">
        <v>4</v>
      </c>
      <c r="J41" s="4" t="s">
        <v>12</v>
      </c>
      <c r="K41" s="73">
        <f t="shared" si="14"/>
        <v>60</v>
      </c>
      <c r="L41" s="73">
        <f t="shared" si="15"/>
        <v>60</v>
      </c>
      <c r="M41" s="73">
        <f t="shared" si="16"/>
        <v>0</v>
      </c>
      <c r="N41" s="7" t="str">
        <f>IF(O41=""," ",VLOOKUP(O41,'[8]2012 личен състав ОТД'!$A:$AO,2,FALSE))</f>
        <v>доц. д-р Николай Нейчев</v>
      </c>
      <c r="O41" s="3" t="str">
        <f>IF(A41=""," ",VLOOKUP(A41,'Български и английски език'!A:O,15,FALSE))</f>
        <v>нейчев</v>
      </c>
      <c r="P41" s="7">
        <f>IF(O41=""," ",VLOOKUP(O41,'[8]2012 личен състав ОТД'!$A:$AO,13,FALSE))</f>
        <v>1959</v>
      </c>
      <c r="Q41" s="7" t="str">
        <f>IF(O41=""," ",VLOOKUP(O41,'[8]2012 личен състав ОТД'!$A:$AO,12,FALSE))</f>
        <v>ОТД</v>
      </c>
      <c r="R41" s="7" t="str">
        <f>IF(A41=""," ",VLOOKUP(A41,'Профилиращ лист'!A:B,2,FALSE))</f>
        <v>ОФД</v>
      </c>
      <c r="T41" s="7">
        <f t="shared" ca="1" si="17"/>
        <v>54</v>
      </c>
    </row>
    <row r="42" spans="1:28" ht="17.100000000000001" hidden="1" customHeight="1" x14ac:dyDescent="0.25">
      <c r="A42" s="8" t="s">
        <v>44</v>
      </c>
      <c r="B42" s="4">
        <v>30</v>
      </c>
      <c r="C42" s="4">
        <v>45</v>
      </c>
      <c r="D42" s="4">
        <v>30</v>
      </c>
      <c r="E42" s="4">
        <v>15</v>
      </c>
      <c r="F42" s="4">
        <v>0</v>
      </c>
      <c r="G42" s="4">
        <f t="shared" si="18"/>
        <v>15</v>
      </c>
      <c r="H42" s="4">
        <f t="shared" si="13"/>
        <v>60</v>
      </c>
      <c r="I42" s="4">
        <v>2</v>
      </c>
      <c r="J42" s="4" t="s">
        <v>14</v>
      </c>
      <c r="K42" s="73">
        <f t="shared" si="14"/>
        <v>90</v>
      </c>
      <c r="L42" s="73">
        <f t="shared" si="15"/>
        <v>60</v>
      </c>
      <c r="M42" s="73">
        <f t="shared" si="16"/>
        <v>30</v>
      </c>
      <c r="N42" s="7" t="str">
        <f>IF(O42=""," ",VLOOKUP(O42,'[8]2012 личен състав ОТД'!$A:$AO,2,FALSE))</f>
        <v xml:space="preserve">   </v>
      </c>
      <c r="O42" s="3">
        <f>IF(A42=""," ",VLOOKUP(A42,'Български и английски език'!A:O,15,FALSE))</f>
        <v>0</v>
      </c>
      <c r="P42" s="7">
        <f>IF(O42=""," ",VLOOKUP(O42,'[8]2012 личен състав ОТД'!$A:$AO,13,FALSE))</f>
        <v>0</v>
      </c>
      <c r="Q42" s="7">
        <f>IF(O42=""," ",VLOOKUP(O42,'[8]2012 личен състав ОТД'!$A:$AO,12,FALSE))</f>
        <v>0</v>
      </c>
      <c r="R42" s="7" t="str">
        <f>IF(A42=""," ",VLOOKUP(A42,'Профилиращ лист'!A:B,2,FALSE))</f>
        <v>СПЕ</v>
      </c>
      <c r="T42" s="7">
        <f t="shared" ca="1" si="17"/>
        <v>2013</v>
      </c>
    </row>
    <row r="43" spans="1:28" ht="17.100000000000001" hidden="1" customHeight="1" x14ac:dyDescent="0.25">
      <c r="A43" s="8" t="s">
        <v>146</v>
      </c>
      <c r="B43" s="4">
        <v>30</v>
      </c>
      <c r="C43" s="4">
        <v>30</v>
      </c>
      <c r="D43" s="4">
        <v>15</v>
      </c>
      <c r="E43" s="4">
        <v>15</v>
      </c>
      <c r="F43" s="4">
        <v>0</v>
      </c>
      <c r="G43" s="4">
        <f t="shared" si="18"/>
        <v>30</v>
      </c>
      <c r="H43" s="4">
        <f t="shared" si="13"/>
        <v>60</v>
      </c>
      <c r="I43" s="4">
        <v>2</v>
      </c>
      <c r="J43" s="4" t="s">
        <v>14</v>
      </c>
      <c r="K43" s="73">
        <f t="shared" si="14"/>
        <v>60</v>
      </c>
      <c r="L43" s="73">
        <f t="shared" si="15"/>
        <v>30</v>
      </c>
      <c r="M43" s="73">
        <f t="shared" si="16"/>
        <v>30</v>
      </c>
      <c r="N43" s="7" t="e">
        <f>IF(O43=""," ",VLOOKUP(O43,'[8]2012 личен състав ОТД'!$A:$AO,2,FALSE))</f>
        <v>#N/A</v>
      </c>
      <c r="O43" s="3" t="e">
        <f>IF(A43=""," ",VLOOKUP(A43,'Български и английски език'!A:O,15,FALSE))</f>
        <v>#N/A</v>
      </c>
      <c r="P43" s="7" t="e">
        <f>IF(O43=""," ",VLOOKUP(O43,'[8]2012 личен състав ОТД'!$A:$AO,13,FALSE))</f>
        <v>#N/A</v>
      </c>
      <c r="Q43" s="7" t="e">
        <f>IF(O43=""," ",VLOOKUP(O43,'[8]2012 личен състав ОТД'!$A:$AO,12,FALSE))</f>
        <v>#N/A</v>
      </c>
      <c r="R43" s="7" t="e">
        <f>IF(A43=""," ",VLOOKUP(A43,'Профилиращ лист'!A:B,2,FALSE))</f>
        <v>#N/A</v>
      </c>
      <c r="T43" s="7" t="e">
        <f t="shared" ca="1" si="17"/>
        <v>#N/A</v>
      </c>
      <c r="AB43" s="7" t="s">
        <v>574</v>
      </c>
    </row>
    <row r="44" spans="1:28" ht="18" hidden="1" customHeight="1" x14ac:dyDescent="0.25">
      <c r="A44" s="8"/>
      <c r="B44" s="9">
        <f t="shared" ref="B44:I44" si="19">SUM(B35:B43)</f>
        <v>360</v>
      </c>
      <c r="C44" s="9">
        <f t="shared" si="19"/>
        <v>405</v>
      </c>
      <c r="D44" s="9">
        <f t="shared" si="19"/>
        <v>210</v>
      </c>
      <c r="E44" s="9">
        <f t="shared" si="19"/>
        <v>90</v>
      </c>
      <c r="F44" s="9">
        <f t="shared" si="19"/>
        <v>105</v>
      </c>
      <c r="G44" s="9">
        <f t="shared" si="19"/>
        <v>495</v>
      </c>
      <c r="H44" s="9">
        <f t="shared" si="19"/>
        <v>900</v>
      </c>
      <c r="I44" s="9">
        <f t="shared" si="19"/>
        <v>30</v>
      </c>
      <c r="J44" s="6"/>
      <c r="K44" s="73">
        <f t="shared" si="14"/>
        <v>0</v>
      </c>
      <c r="L44" s="73">
        <f t="shared" si="15"/>
        <v>0</v>
      </c>
      <c r="M44" s="73">
        <f t="shared" si="16"/>
        <v>0</v>
      </c>
      <c r="N44" s="7" t="e">
        <f>IF(O44=""," ",VLOOKUP(O44,'[8]2012 личен състав ОТД'!$A:$AO,2,FALSE))</f>
        <v>#N/A</v>
      </c>
      <c r="O44" s="3" t="str">
        <f>IF(A44=""," ",VLOOKUP(A44,'Български и английски език'!A:O,15,FALSE))</f>
        <v xml:space="preserve"> </v>
      </c>
      <c r="P44" s="7" t="e">
        <f>IF(O44=""," ",VLOOKUP(O44,'[8]2012 личен състав ОТД'!$A:$AO,13,FALSE))</f>
        <v>#N/A</v>
      </c>
      <c r="Q44" s="7" t="e">
        <f>IF(O44=""," ",VLOOKUP(O44,'[8]2012 личен състав ОТД'!$A:$AO,12,FALSE))</f>
        <v>#N/A</v>
      </c>
      <c r="R44" s="7" t="str">
        <f>IF(A44=""," ",VLOOKUP(A44,'Профилиращ лист'!A:B,2,FALSE))</f>
        <v xml:space="preserve"> </v>
      </c>
      <c r="T44" s="7" t="e">
        <f t="shared" ca="1" si="17"/>
        <v>#N/A</v>
      </c>
    </row>
    <row r="45" spans="1:28" ht="15" hidden="1" customHeight="1" x14ac:dyDescent="0.25">
      <c r="A45" s="1" t="s">
        <v>46</v>
      </c>
      <c r="B45" s="1"/>
      <c r="J45" s="6"/>
      <c r="K45" s="73">
        <f t="shared" si="14"/>
        <v>0</v>
      </c>
      <c r="L45" s="73">
        <f t="shared" si="15"/>
        <v>0</v>
      </c>
      <c r="M45" s="73">
        <f t="shared" si="16"/>
        <v>0</v>
      </c>
      <c r="N45" s="7" t="str">
        <f>IF(O45=""," ",VLOOKUP(O45,'[8]2012 личен състав ОТД'!$A:$AO,2,FALSE))</f>
        <v xml:space="preserve">   </v>
      </c>
      <c r="O45" s="3">
        <f>IF(A45=""," ",VLOOKUP(A45,'Български и английски език'!A:O,15,FALSE))</f>
        <v>0</v>
      </c>
      <c r="P45" s="7">
        <f>IF(O45=""," ",VLOOKUP(O45,'[8]2012 личен състав ОТД'!$A:$AO,13,FALSE))</f>
        <v>0</v>
      </c>
      <c r="Q45" s="7">
        <f>IF(O45=""," ",VLOOKUP(O45,'[8]2012 личен състав ОТД'!$A:$AO,12,FALSE))</f>
        <v>0</v>
      </c>
      <c r="R45" s="7" t="e">
        <f>IF(A45=""," ",VLOOKUP(A45,'Профилиращ лист'!A:B,2,FALSE))</f>
        <v>#N/A</v>
      </c>
      <c r="T45" s="7">
        <f t="shared" ca="1" si="17"/>
        <v>2013</v>
      </c>
    </row>
    <row r="46" spans="1:28" x14ac:dyDescent="0.25">
      <c r="A46" s="67" t="s">
        <v>39</v>
      </c>
      <c r="B46" s="4">
        <v>30</v>
      </c>
      <c r="C46" s="4">
        <v>60</v>
      </c>
      <c r="D46" s="4">
        <v>30</v>
      </c>
      <c r="E46" s="4">
        <v>30</v>
      </c>
      <c r="F46" s="4">
        <v>0</v>
      </c>
      <c r="G46" s="4">
        <f>H46-C46</f>
        <v>30</v>
      </c>
      <c r="H46" s="4">
        <f t="shared" ref="H46:H54" si="20">I46*30</f>
        <v>90</v>
      </c>
      <c r="I46" s="4">
        <v>3</v>
      </c>
      <c r="J46" s="4" t="s">
        <v>12</v>
      </c>
      <c r="K46" s="73">
        <f t="shared" si="14"/>
        <v>105</v>
      </c>
      <c r="L46" s="73">
        <f t="shared" si="15"/>
        <v>60</v>
      </c>
      <c r="M46" s="73">
        <f t="shared" si="16"/>
        <v>45</v>
      </c>
      <c r="N46" s="7" t="str">
        <f>IF(O46=""," ",VLOOKUP(O46,'[8]2012 личен състав ОТД'!$A:$AO,2,FALSE))</f>
        <v>доц. д-р Светла Черпокова-Захариева</v>
      </c>
      <c r="O46" s="3" t="s">
        <v>472</v>
      </c>
      <c r="P46" s="7">
        <f>IF(O46=""," ",VLOOKUP(O46,'[8]2012 личен състав ОТД'!$A:$AO,13,FALSE))</f>
        <v>1967</v>
      </c>
      <c r="Q46" s="7" t="str">
        <f>IF(O46=""," ",VLOOKUP(O46,'[8]2012 личен състав ОТД'!$A:$AO,12,FALSE))</f>
        <v>ОТД</v>
      </c>
      <c r="R46" s="7" t="s">
        <v>265</v>
      </c>
      <c r="T46" s="7">
        <f t="shared" ca="1" si="17"/>
        <v>46</v>
      </c>
    </row>
    <row r="47" spans="1:28" ht="14.1" hidden="1" customHeight="1" x14ac:dyDescent="0.25">
      <c r="A47" s="8" t="s">
        <v>47</v>
      </c>
      <c r="B47" s="4">
        <v>30</v>
      </c>
      <c r="C47" s="4">
        <v>30</v>
      </c>
      <c r="D47" s="4">
        <v>30</v>
      </c>
      <c r="E47" s="4">
        <v>0</v>
      </c>
      <c r="F47" s="4">
        <v>0</v>
      </c>
      <c r="G47" s="4">
        <f t="shared" ref="G47:G54" si="21">H47-C47</f>
        <v>60</v>
      </c>
      <c r="H47" s="4">
        <f t="shared" si="20"/>
        <v>90</v>
      </c>
      <c r="I47" s="4">
        <v>3</v>
      </c>
      <c r="J47" s="4" t="s">
        <v>14</v>
      </c>
      <c r="K47" s="73">
        <f t="shared" si="14"/>
        <v>90</v>
      </c>
      <c r="L47" s="73">
        <f t="shared" si="15"/>
        <v>60</v>
      </c>
      <c r="M47" s="73">
        <f t="shared" si="16"/>
        <v>30</v>
      </c>
      <c r="N47" s="7" t="str">
        <f>IF(O47=""," ",VLOOKUP(O47,'[8]2012 личен състав ОТД'!$A:$AO,2,FALSE))</f>
        <v xml:space="preserve">   </v>
      </c>
      <c r="O47" s="3">
        <f>IF(A47=""," ",VLOOKUP(A47,'Български и английски език'!A:O,15,FALSE))</f>
        <v>0</v>
      </c>
      <c r="P47" s="7">
        <f>IF(O47=""," ",VLOOKUP(O47,'[8]2012 личен състав ОТД'!$A:$AO,13,FALSE))</f>
        <v>0</v>
      </c>
      <c r="Q47" s="7">
        <f>IF(O47=""," ",VLOOKUP(O47,'[8]2012 личен състав ОТД'!$A:$AO,12,FALSE))</f>
        <v>0</v>
      </c>
      <c r="R47" s="7" t="str">
        <f>IF(A47=""," ",VLOOKUP(A47,'Профилиращ лист'!A:B,2,FALSE))</f>
        <v>СПЕ</v>
      </c>
      <c r="T47" s="7">
        <f t="shared" ca="1" si="17"/>
        <v>2013</v>
      </c>
    </row>
    <row r="48" spans="1:28" ht="14.1" hidden="1" customHeight="1" x14ac:dyDescent="0.25">
      <c r="A48" s="8" t="s">
        <v>147</v>
      </c>
      <c r="B48" s="4">
        <v>30</v>
      </c>
      <c r="C48" s="4">
        <v>30</v>
      </c>
      <c r="D48" s="4">
        <v>15</v>
      </c>
      <c r="E48" s="4">
        <v>15</v>
      </c>
      <c r="F48" s="4">
        <v>0</v>
      </c>
      <c r="G48" s="4">
        <f t="shared" si="21"/>
        <v>30</v>
      </c>
      <c r="H48" s="4">
        <f t="shared" si="20"/>
        <v>60</v>
      </c>
      <c r="I48" s="4">
        <v>2</v>
      </c>
      <c r="J48" s="4" t="s">
        <v>14</v>
      </c>
      <c r="K48" s="73">
        <f t="shared" si="14"/>
        <v>60</v>
      </c>
      <c r="L48" s="73">
        <f t="shared" si="15"/>
        <v>30</v>
      </c>
      <c r="M48" s="73">
        <f t="shared" si="16"/>
        <v>30</v>
      </c>
      <c r="N48" s="7" t="e">
        <f>IF(O48=""," ",VLOOKUP(O48,'[8]2012 личен състав ОТД'!$A:$AO,2,FALSE))</f>
        <v>#N/A</v>
      </c>
      <c r="O48" s="3" t="e">
        <f>IF(A48=""," ",VLOOKUP(A48,'Български и английски език'!A:O,15,FALSE))</f>
        <v>#N/A</v>
      </c>
      <c r="P48" s="7" t="e">
        <f>IF(O48=""," ",VLOOKUP(O48,'[8]2012 личен състав ОТД'!$A:$AO,13,FALSE))</f>
        <v>#N/A</v>
      </c>
      <c r="Q48" s="7" t="e">
        <f>IF(O48=""," ",VLOOKUP(O48,'[8]2012 личен състав ОТД'!$A:$AO,12,FALSE))</f>
        <v>#N/A</v>
      </c>
      <c r="R48" s="7" t="s">
        <v>255</v>
      </c>
      <c r="T48" s="7" t="e">
        <f t="shared" ca="1" si="17"/>
        <v>#N/A</v>
      </c>
    </row>
    <row r="49" spans="1:20" ht="14.1" hidden="1" customHeight="1" x14ac:dyDescent="0.25">
      <c r="A49" s="8" t="s">
        <v>49</v>
      </c>
      <c r="B49" s="4">
        <v>45</v>
      </c>
      <c r="C49" s="4">
        <v>30</v>
      </c>
      <c r="D49" s="4">
        <v>30</v>
      </c>
      <c r="E49" s="4">
        <v>0</v>
      </c>
      <c r="F49" s="4">
        <v>0</v>
      </c>
      <c r="G49" s="4">
        <f t="shared" si="21"/>
        <v>60</v>
      </c>
      <c r="H49" s="4">
        <f t="shared" si="20"/>
        <v>90</v>
      </c>
      <c r="I49" s="4">
        <v>3</v>
      </c>
      <c r="J49" s="4" t="s">
        <v>14</v>
      </c>
      <c r="K49" s="73">
        <f t="shared" si="14"/>
        <v>75</v>
      </c>
      <c r="L49" s="73">
        <f t="shared" si="15"/>
        <v>60</v>
      </c>
      <c r="M49" s="73">
        <f t="shared" si="16"/>
        <v>15</v>
      </c>
      <c r="N49" s="7" t="str">
        <f>IF(O49=""," ",VLOOKUP(O49,'[8]2012 личен състав ОТД'!$A:$AO,2,FALSE))</f>
        <v xml:space="preserve">   </v>
      </c>
      <c r="O49" s="3">
        <f>IF(A49=""," ",VLOOKUP(A49,'Български и английски език'!A:O,15,FALSE))</f>
        <v>0</v>
      </c>
      <c r="P49" s="7">
        <f>IF(O49=""," ",VLOOKUP(O49,'[8]2012 личен състав ОТД'!$A:$AO,13,FALSE))</f>
        <v>0</v>
      </c>
      <c r="Q49" s="7">
        <f>IF(O49=""," ",VLOOKUP(O49,'[8]2012 личен състав ОТД'!$A:$AO,12,FALSE))</f>
        <v>0</v>
      </c>
      <c r="R49" s="7" t="str">
        <f>IF(A49=""," ",VLOOKUP(A49,'Профилиращ лист'!A:B,2,FALSE))</f>
        <v>ОФД</v>
      </c>
      <c r="T49" s="7">
        <f t="shared" ca="1" si="17"/>
        <v>2013</v>
      </c>
    </row>
    <row r="50" spans="1:20" ht="14.1" hidden="1" customHeight="1" x14ac:dyDescent="0.25">
      <c r="A50" s="8" t="s">
        <v>140</v>
      </c>
      <c r="B50" s="4">
        <v>90</v>
      </c>
      <c r="C50" s="4">
        <v>105</v>
      </c>
      <c r="D50" s="4">
        <v>0</v>
      </c>
      <c r="E50" s="4">
        <v>0</v>
      </c>
      <c r="F50" s="4">
        <v>105</v>
      </c>
      <c r="G50" s="4">
        <f t="shared" si="21"/>
        <v>105</v>
      </c>
      <c r="H50" s="4">
        <f t="shared" si="20"/>
        <v>210</v>
      </c>
      <c r="I50" s="4">
        <v>7</v>
      </c>
      <c r="J50" s="4" t="s">
        <v>14</v>
      </c>
      <c r="K50" s="73">
        <f t="shared" si="14"/>
        <v>735</v>
      </c>
      <c r="L50" s="73">
        <f t="shared" si="15"/>
        <v>0</v>
      </c>
      <c r="M50" s="73">
        <f t="shared" si="16"/>
        <v>735</v>
      </c>
      <c r="N50" s="7" t="e">
        <f>IF(O50=""," ",VLOOKUP(O50,'[8]2012 личен състав ОТД'!$A:$AO,2,FALSE))</f>
        <v>#N/A</v>
      </c>
      <c r="O50" s="3" t="e">
        <f>IF(A50=""," ",VLOOKUP(A50,'Български и английски език'!A:O,15,FALSE))</f>
        <v>#N/A</v>
      </c>
      <c r="P50" s="7" t="e">
        <f>IF(O50=""," ",VLOOKUP(O50,'[8]2012 личен състав ОТД'!$A:$AO,13,FALSE))</f>
        <v>#N/A</v>
      </c>
      <c r="Q50" s="7" t="e">
        <f>IF(O50=""," ",VLOOKUP(O50,'[8]2012 личен състав ОТД'!$A:$AO,12,FALSE))</f>
        <v>#N/A</v>
      </c>
      <c r="R50" s="7" t="e">
        <f>IF(A50=""," ",VLOOKUP(A50,'Профилиращ лист'!A:B,2,FALSE))</f>
        <v>#N/A</v>
      </c>
      <c r="T50" s="7" t="e">
        <f t="shared" ca="1" si="17"/>
        <v>#N/A</v>
      </c>
    </row>
    <row r="51" spans="1:20" ht="14.1" hidden="1" customHeight="1" x14ac:dyDescent="0.25">
      <c r="A51" s="8" t="s">
        <v>55</v>
      </c>
      <c r="B51" s="4">
        <v>30</v>
      </c>
      <c r="C51" s="4">
        <v>30</v>
      </c>
      <c r="D51" s="4">
        <v>0</v>
      </c>
      <c r="E51" s="4">
        <v>0</v>
      </c>
      <c r="F51" s="4">
        <v>30</v>
      </c>
      <c r="G51" s="4">
        <f t="shared" si="21"/>
        <v>30</v>
      </c>
      <c r="H51" s="4">
        <f t="shared" si="20"/>
        <v>60</v>
      </c>
      <c r="I51" s="4">
        <v>2</v>
      </c>
      <c r="J51" s="4" t="s">
        <v>18</v>
      </c>
      <c r="K51" s="73">
        <f t="shared" si="14"/>
        <v>30</v>
      </c>
      <c r="L51" s="73">
        <f t="shared" si="15"/>
        <v>0</v>
      </c>
      <c r="M51" s="73">
        <f t="shared" si="16"/>
        <v>30</v>
      </c>
      <c r="N51" s="7" t="str">
        <f>IF(O51=""," ",VLOOKUP(O51,'[8]2012 личен състав ОТД'!$A:$AO,2,FALSE))</f>
        <v xml:space="preserve">   </v>
      </c>
      <c r="O51" s="3">
        <f>IF(A51=""," ",VLOOKUP(A51,'Български и английски език'!A:O,15,FALSE))</f>
        <v>0</v>
      </c>
      <c r="P51" s="7">
        <f>IF(O51=""," ",VLOOKUP(O51,'[8]2012 личен състав ОТД'!$A:$AO,13,FALSE))</f>
        <v>0</v>
      </c>
      <c r="Q51" s="7">
        <f>IF(O51=""," ",VLOOKUP(O51,'[8]2012 личен състав ОТД'!$A:$AO,12,FALSE))</f>
        <v>0</v>
      </c>
      <c r="R51" s="7" t="str">
        <f>IF(A51=""," ",VLOOKUP(A51,'Профилиращ лист'!A:B,2,FALSE))</f>
        <v>ФД</v>
      </c>
      <c r="T51" s="7">
        <f t="shared" ca="1" si="17"/>
        <v>2013</v>
      </c>
    </row>
    <row r="52" spans="1:20" ht="14.1" hidden="1" customHeight="1" x14ac:dyDescent="0.25">
      <c r="A52" s="8" t="s">
        <v>72</v>
      </c>
      <c r="B52" s="4">
        <v>30</v>
      </c>
      <c r="C52" s="4">
        <v>30</v>
      </c>
      <c r="D52" s="4">
        <v>0</v>
      </c>
      <c r="E52" s="4">
        <v>0</v>
      </c>
      <c r="F52" s="4">
        <v>30</v>
      </c>
      <c r="G52" s="4">
        <f t="shared" si="21"/>
        <v>30</v>
      </c>
      <c r="H52" s="4">
        <f t="shared" si="20"/>
        <v>60</v>
      </c>
      <c r="I52" s="4">
        <v>2</v>
      </c>
      <c r="J52" s="4" t="s">
        <v>18</v>
      </c>
      <c r="K52" s="73">
        <f t="shared" si="14"/>
        <v>30</v>
      </c>
      <c r="L52" s="73">
        <f t="shared" si="15"/>
        <v>0</v>
      </c>
      <c r="M52" s="73">
        <f t="shared" si="16"/>
        <v>30</v>
      </c>
      <c r="N52" s="7" t="str">
        <f>IF(O52=""," ",VLOOKUP(O52,'[8]2012 личен състав ОТД'!$A:$AO,2,FALSE))</f>
        <v xml:space="preserve">   </v>
      </c>
      <c r="O52" s="3">
        <f>IF(A52=""," ",VLOOKUP(A52,'Български и английски език'!A:O,15,FALSE))</f>
        <v>0</v>
      </c>
      <c r="P52" s="7">
        <f>IF(O52=""," ",VLOOKUP(O52,'[8]2012 личен състав ОТД'!$A:$AO,13,FALSE))</f>
        <v>0</v>
      </c>
      <c r="Q52" s="7">
        <f>IF(O52=""," ",VLOOKUP(O52,'[8]2012 личен състав ОТД'!$A:$AO,12,FALSE))</f>
        <v>0</v>
      </c>
      <c r="R52" s="7" t="str">
        <f>IF(A52=""," ",VLOOKUP(A52,'Профилиращ лист'!A:B,2,FALSE))</f>
        <v>ФД</v>
      </c>
      <c r="T52" s="7">
        <f t="shared" ca="1" si="17"/>
        <v>2013</v>
      </c>
    </row>
    <row r="53" spans="1:20" x14ac:dyDescent="0.25">
      <c r="A53" s="67" t="s">
        <v>44</v>
      </c>
      <c r="B53" s="4">
        <v>45</v>
      </c>
      <c r="C53" s="4">
        <v>45</v>
      </c>
      <c r="D53" s="4">
        <v>30</v>
      </c>
      <c r="E53" s="4">
        <v>15</v>
      </c>
      <c r="F53" s="4">
        <v>0</v>
      </c>
      <c r="G53" s="4">
        <f t="shared" si="21"/>
        <v>75</v>
      </c>
      <c r="H53" s="4">
        <f t="shared" si="20"/>
        <v>120</v>
      </c>
      <c r="I53" s="4">
        <v>4</v>
      </c>
      <c r="J53" s="4" t="s">
        <v>12</v>
      </c>
      <c r="K53" s="73">
        <f t="shared" si="14"/>
        <v>90</v>
      </c>
      <c r="L53" s="73">
        <f t="shared" si="15"/>
        <v>60</v>
      </c>
      <c r="M53" s="73">
        <f t="shared" si="16"/>
        <v>30</v>
      </c>
      <c r="N53" s="7" t="str">
        <f>IF(O53=""," ",VLOOKUP(O53,'[8]2012 личен състав ОТД'!$A:$AO,2,FALSE))</f>
        <v>доц. д-р Константин Куцаров</v>
      </c>
      <c r="O53" s="3" t="s">
        <v>491</v>
      </c>
      <c r="P53" s="7">
        <f>IF(O53=""," ",VLOOKUP(O53,'[8]2012 личен състав ОТД'!$A:$AO,13,FALSE))</f>
        <v>1968</v>
      </c>
      <c r="Q53" s="7" t="str">
        <f>IF(O53=""," ",VLOOKUP(O53,'[8]2012 личен състав ОТД'!$A:$AO,12,FALSE))</f>
        <v>ОТД</v>
      </c>
      <c r="R53" s="7" t="str">
        <f>IF(A53=""," ",VLOOKUP(A53,'Профилиращ лист'!A:B,2,FALSE))</f>
        <v>СПЕ</v>
      </c>
      <c r="T53" s="7">
        <f t="shared" ca="1" si="17"/>
        <v>45</v>
      </c>
    </row>
    <row r="54" spans="1:20" x14ac:dyDescent="0.25">
      <c r="A54" s="67" t="s">
        <v>146</v>
      </c>
      <c r="B54" s="4">
        <v>30</v>
      </c>
      <c r="C54" s="4">
        <v>30</v>
      </c>
      <c r="D54" s="4">
        <v>15</v>
      </c>
      <c r="E54" s="4">
        <v>15</v>
      </c>
      <c r="F54" s="4">
        <v>0</v>
      </c>
      <c r="G54" s="4">
        <f t="shared" si="21"/>
        <v>90</v>
      </c>
      <c r="H54" s="4">
        <f t="shared" si="20"/>
        <v>120</v>
      </c>
      <c r="I54" s="4">
        <v>4</v>
      </c>
      <c r="J54" s="4" t="s">
        <v>12</v>
      </c>
      <c r="K54" s="73">
        <f t="shared" si="14"/>
        <v>60</v>
      </c>
      <c r="L54" s="73">
        <f t="shared" si="15"/>
        <v>30</v>
      </c>
      <c r="M54" s="73">
        <f t="shared" si="16"/>
        <v>30</v>
      </c>
      <c r="N54" s="7" t="str">
        <f>IF(O54=""," ",VLOOKUP(O54,'[8]2012 личен състав ОТД'!$A:$AO,2,FALSE))</f>
        <v>гл. ас. д-р Веселка Ненкова</v>
      </c>
      <c r="O54" s="3" t="s">
        <v>503</v>
      </c>
      <c r="P54" s="7">
        <f>IF(O54=""," ",VLOOKUP(O54,'[8]2012 личен състав ОТД'!$A:$AO,13,FALSE))</f>
        <v>1972</v>
      </c>
      <c r="Q54" s="7" t="str">
        <f>IF(O54=""," ",VLOOKUP(O54,'[8]2012 личен състав ОТД'!$A:$AO,12,FALSE))</f>
        <v>ОТД</v>
      </c>
      <c r="R54" s="7" t="s">
        <v>255</v>
      </c>
      <c r="T54" s="7">
        <f t="shared" ca="1" si="17"/>
        <v>41</v>
      </c>
    </row>
    <row r="55" spans="1:20" ht="14.1" hidden="1" customHeight="1" x14ac:dyDescent="0.25">
      <c r="A55" s="8"/>
      <c r="B55" s="9">
        <f t="shared" ref="B55:I55" si="22">SUM(B46:B54)</f>
        <v>360</v>
      </c>
      <c r="C55" s="9">
        <f t="shared" si="22"/>
        <v>390</v>
      </c>
      <c r="D55" s="9">
        <f t="shared" si="22"/>
        <v>150</v>
      </c>
      <c r="E55" s="9">
        <f t="shared" si="22"/>
        <v>75</v>
      </c>
      <c r="F55" s="9">
        <f t="shared" si="22"/>
        <v>165</v>
      </c>
      <c r="G55" s="9">
        <f t="shared" si="22"/>
        <v>510</v>
      </c>
      <c r="H55" s="9">
        <f t="shared" si="22"/>
        <v>900</v>
      </c>
      <c r="I55" s="9">
        <f t="shared" si="22"/>
        <v>30</v>
      </c>
      <c r="J55" s="6"/>
      <c r="K55" s="73">
        <f t="shared" si="14"/>
        <v>0</v>
      </c>
      <c r="L55" s="73">
        <f t="shared" si="15"/>
        <v>0</v>
      </c>
      <c r="M55" s="73">
        <f t="shared" si="16"/>
        <v>0</v>
      </c>
      <c r="N55" s="7" t="e">
        <f>IF(O55=""," ",VLOOKUP(O55,'[8]2012 личен състав ОТД'!$A:$AO,2,FALSE))</f>
        <v>#N/A</v>
      </c>
      <c r="O55" s="3" t="str">
        <f>IF(A55=""," ",VLOOKUP(A55,'Български и английски език'!A:O,15,FALSE))</f>
        <v xml:space="preserve"> </v>
      </c>
      <c r="P55" s="7" t="e">
        <f>IF(O55=""," ",VLOOKUP(O55,'[8]2012 личен състав ОТД'!$A:$AO,13,FALSE))</f>
        <v>#N/A</v>
      </c>
      <c r="Q55" s="7" t="e">
        <f>IF(O55=""," ",VLOOKUP(O55,'[8]2012 личен състав ОТД'!$A:$AO,12,FALSE))</f>
        <v>#N/A</v>
      </c>
      <c r="T55" s="7" t="e">
        <f t="shared" ca="1" si="17"/>
        <v>#N/A</v>
      </c>
    </row>
    <row r="56" spans="1:20" ht="14.1" hidden="1" customHeight="1" x14ac:dyDescent="0.25">
      <c r="A56" s="1" t="s">
        <v>51</v>
      </c>
      <c r="B56" s="1"/>
      <c r="J56" s="6"/>
      <c r="K56" s="73">
        <f t="shared" si="14"/>
        <v>0</v>
      </c>
      <c r="L56" s="73">
        <f t="shared" si="15"/>
        <v>0</v>
      </c>
      <c r="M56" s="73">
        <f t="shared" si="16"/>
        <v>0</v>
      </c>
      <c r="N56" s="7" t="str">
        <f>IF(O56=""," ",VLOOKUP(O56,'[8]2012 личен състав ОТД'!$A:$AO,2,FALSE))</f>
        <v xml:space="preserve">   </v>
      </c>
      <c r="O56" s="3">
        <f>IF(A56=""," ",VLOOKUP(A56,'Български и английски език'!A:O,15,FALSE))</f>
        <v>0</v>
      </c>
      <c r="P56" s="7">
        <f>IF(O56=""," ",VLOOKUP(O56,'[8]2012 личен състав ОТД'!$A:$AO,13,FALSE))</f>
        <v>0</v>
      </c>
      <c r="Q56" s="7">
        <f>IF(O56=""," ",VLOOKUP(O56,'[8]2012 личен състав ОТД'!$A:$AO,12,FALSE))</f>
        <v>0</v>
      </c>
      <c r="T56" s="7">
        <f t="shared" ca="1" si="17"/>
        <v>2013</v>
      </c>
    </row>
    <row r="57" spans="1:20" x14ac:dyDescent="0.25">
      <c r="A57" s="67" t="s">
        <v>47</v>
      </c>
      <c r="B57" s="4">
        <v>45</v>
      </c>
      <c r="C57" s="4">
        <v>60</v>
      </c>
      <c r="D57" s="4">
        <v>30</v>
      </c>
      <c r="E57" s="4">
        <v>30</v>
      </c>
      <c r="F57" s="4">
        <v>0</v>
      </c>
      <c r="G57" s="4">
        <f>H57-C57</f>
        <v>60</v>
      </c>
      <c r="H57" s="4">
        <f t="shared" ref="H57:H65" si="23">I57*30</f>
        <v>120</v>
      </c>
      <c r="I57" s="4">
        <v>4</v>
      </c>
      <c r="J57" s="4" t="s">
        <v>12</v>
      </c>
      <c r="K57" s="73">
        <f t="shared" si="14"/>
        <v>90</v>
      </c>
      <c r="L57" s="73">
        <f t="shared" si="15"/>
        <v>60</v>
      </c>
      <c r="M57" s="73">
        <f t="shared" si="16"/>
        <v>30</v>
      </c>
      <c r="N57" s="7" t="str">
        <f>IF(O57=""," ",VLOOKUP(O57,'[8]2012 личен състав ОТД'!$A:$AO,2,FALSE))</f>
        <v>доц. д-р Иван Русков</v>
      </c>
      <c r="O57" s="3" t="s">
        <v>492</v>
      </c>
      <c r="P57" s="7">
        <f>IF(O57=""," ",VLOOKUP(O57,'[8]2012 личен състав ОТД'!$A:$AO,13,FALSE))</f>
        <v>1960</v>
      </c>
      <c r="Q57" s="7" t="str">
        <f>IF(O57=""," ",VLOOKUP(O57,'[8]2012 личен състав ОТД'!$A:$AO,12,FALSE))</f>
        <v>ОТД</v>
      </c>
      <c r="R57" s="7" t="str">
        <f>IF(A57=""," ",VLOOKUP(A57,'Профилиращ лист'!A:B,2,FALSE))</f>
        <v>СПЕ</v>
      </c>
      <c r="T57" s="7">
        <f t="shared" ca="1" si="17"/>
        <v>53</v>
      </c>
    </row>
    <row r="58" spans="1:20" x14ac:dyDescent="0.25">
      <c r="A58" s="67" t="s">
        <v>147</v>
      </c>
      <c r="B58" s="4">
        <v>30</v>
      </c>
      <c r="C58" s="4">
        <v>30</v>
      </c>
      <c r="D58" s="4">
        <v>15</v>
      </c>
      <c r="E58" s="4">
        <v>15</v>
      </c>
      <c r="F58" s="4">
        <v>0</v>
      </c>
      <c r="G58" s="4">
        <f t="shared" ref="G58:G65" si="24">H58-C58</f>
        <v>30</v>
      </c>
      <c r="H58" s="4">
        <f t="shared" si="23"/>
        <v>60</v>
      </c>
      <c r="I58" s="4">
        <v>2</v>
      </c>
      <c r="J58" s="4" t="s">
        <v>12</v>
      </c>
      <c r="K58" s="73">
        <f t="shared" si="14"/>
        <v>60</v>
      </c>
      <c r="L58" s="73">
        <f t="shared" si="15"/>
        <v>30</v>
      </c>
      <c r="M58" s="73">
        <f t="shared" si="16"/>
        <v>30</v>
      </c>
      <c r="N58" s="7" t="str">
        <f>IF(O58=""," ",VLOOKUP(O58,'[8]2012 личен състав ОТД'!$A:$AO,2,FALSE))</f>
        <v>доц. д-р Петър  Моллов</v>
      </c>
      <c r="O58" s="3" t="s">
        <v>505</v>
      </c>
      <c r="P58" s="7">
        <f>IF(O58=""," ",VLOOKUP(O58,'[8]2012 личен състав ОТД'!$A:$AO,13,FALSE))</f>
        <v>0</v>
      </c>
      <c r="Q58" s="7" t="str">
        <f>IF(O58=""," ",VLOOKUP(O58,'[8]2012 личен състав ОТД'!$A:$AO,12,FALSE))</f>
        <v>ХОН</v>
      </c>
      <c r="R58" s="7" t="s">
        <v>255</v>
      </c>
      <c r="T58" s="7">
        <f t="shared" ca="1" si="17"/>
        <v>2013</v>
      </c>
    </row>
    <row r="59" spans="1:20" x14ac:dyDescent="0.25">
      <c r="A59" s="67" t="s">
        <v>49</v>
      </c>
      <c r="B59" s="4">
        <v>45</v>
      </c>
      <c r="C59" s="4">
        <v>45</v>
      </c>
      <c r="D59" s="4">
        <v>30</v>
      </c>
      <c r="E59" s="4">
        <v>15</v>
      </c>
      <c r="F59" s="4">
        <v>0</v>
      </c>
      <c r="G59" s="4">
        <f t="shared" si="24"/>
        <v>75</v>
      </c>
      <c r="H59" s="4">
        <f t="shared" si="23"/>
        <v>120</v>
      </c>
      <c r="I59" s="4">
        <v>4</v>
      </c>
      <c r="J59" s="4" t="s">
        <v>12</v>
      </c>
      <c r="K59" s="73">
        <f t="shared" si="14"/>
        <v>75</v>
      </c>
      <c r="L59" s="73">
        <f t="shared" si="15"/>
        <v>60</v>
      </c>
      <c r="M59" s="73">
        <f t="shared" si="16"/>
        <v>15</v>
      </c>
      <c r="N59" s="7" t="str">
        <f>IF(O59=""," ",VLOOKUP(O59,'[8]2012 личен състав ОТД'!$A:$AO,2,FALSE))</f>
        <v>доц. д-р Христина Тончева</v>
      </c>
      <c r="O59" s="3" t="s">
        <v>461</v>
      </c>
      <c r="P59" s="7">
        <f>IF(O59=""," ",VLOOKUP(O59,'[8]2012 личен състав ОТД'!$A:$AO,13,FALSE))</f>
        <v>1968</v>
      </c>
      <c r="Q59" s="7" t="str">
        <f>IF(O59=""," ",VLOOKUP(O59,'[8]2012 личен състав ОТД'!$A:$AO,12,FALSE))</f>
        <v>ОТД</v>
      </c>
      <c r="R59" s="7" t="str">
        <f>IF(A59=""," ",VLOOKUP(A59,'Профилиращ лист'!A:B,2,FALSE))</f>
        <v>ОФД</v>
      </c>
      <c r="T59" s="7">
        <f t="shared" ca="1" si="17"/>
        <v>45</v>
      </c>
    </row>
    <row r="60" spans="1:20" ht="14.1" hidden="1" customHeight="1" x14ac:dyDescent="0.25">
      <c r="A60" s="8" t="s">
        <v>140</v>
      </c>
      <c r="B60" s="4">
        <v>90</v>
      </c>
      <c r="C60" s="4">
        <v>105</v>
      </c>
      <c r="D60" s="4">
        <v>0</v>
      </c>
      <c r="E60" s="4">
        <v>0</v>
      </c>
      <c r="F60" s="4">
        <v>105</v>
      </c>
      <c r="G60" s="4">
        <f t="shared" si="24"/>
        <v>105</v>
      </c>
      <c r="H60" s="4">
        <f t="shared" si="23"/>
        <v>210</v>
      </c>
      <c r="I60" s="4">
        <v>7</v>
      </c>
      <c r="J60" s="4" t="s">
        <v>12</v>
      </c>
      <c r="K60" s="73">
        <f t="shared" si="14"/>
        <v>735</v>
      </c>
      <c r="L60" s="73">
        <f t="shared" si="15"/>
        <v>0</v>
      </c>
      <c r="M60" s="73">
        <f t="shared" si="16"/>
        <v>735</v>
      </c>
      <c r="N60" s="7" t="e">
        <f>IF(O60=""," ",VLOOKUP(O60,'[8]2012 личен състав ОТД'!$A:$AO,2,FALSE))</f>
        <v>#N/A</v>
      </c>
      <c r="O60" s="3" t="e">
        <f>IF(A60=""," ",VLOOKUP(A60,'Български и английски език'!A:O,15,FALSE))</f>
        <v>#N/A</v>
      </c>
      <c r="P60" s="7" t="e">
        <f>IF(O60=""," ",VLOOKUP(O60,'[8]2012 личен състав ОТД'!$A:$AO,13,FALSE))</f>
        <v>#N/A</v>
      </c>
      <c r="Q60" s="7" t="e">
        <f>IF(O60=""," ",VLOOKUP(O60,'[8]2012 личен състав ОТД'!$A:$AO,12,FALSE))</f>
        <v>#N/A</v>
      </c>
      <c r="R60" s="7" t="e">
        <f>IF(A60=""," ",VLOOKUP(A60,'Профилиращ лист'!A:B,2,FALSE))</f>
        <v>#N/A</v>
      </c>
      <c r="T60" s="7" t="e">
        <f t="shared" ca="1" si="17"/>
        <v>#N/A</v>
      </c>
    </row>
    <row r="61" spans="1:20" ht="14.1" hidden="1" customHeight="1" x14ac:dyDescent="0.25">
      <c r="A61" s="8" t="s">
        <v>54</v>
      </c>
      <c r="B61" s="4">
        <v>30</v>
      </c>
      <c r="C61" s="4">
        <v>30</v>
      </c>
      <c r="D61" s="4">
        <v>30</v>
      </c>
      <c r="E61" s="4">
        <v>0</v>
      </c>
      <c r="F61" s="4">
        <v>0</v>
      </c>
      <c r="G61" s="4">
        <f t="shared" si="24"/>
        <v>60</v>
      </c>
      <c r="H61" s="4">
        <f t="shared" si="23"/>
        <v>90</v>
      </c>
      <c r="I61" s="4">
        <v>3</v>
      </c>
      <c r="J61" s="4" t="s">
        <v>14</v>
      </c>
      <c r="K61" s="73">
        <f t="shared" si="14"/>
        <v>75</v>
      </c>
      <c r="L61" s="73">
        <f t="shared" si="15"/>
        <v>45</v>
      </c>
      <c r="M61" s="73">
        <f t="shared" si="16"/>
        <v>30</v>
      </c>
      <c r="N61" s="7" t="str">
        <f>IF(O61=""," ",VLOOKUP(O61,'[8]2012 личен състав ОТД'!$A:$AO,2,FALSE))</f>
        <v xml:space="preserve">   </v>
      </c>
      <c r="O61" s="3">
        <f>IF(A61=""," ",VLOOKUP(A61,'Български и английски език'!A:O,15,FALSE))</f>
        <v>0</v>
      </c>
      <c r="P61" s="7">
        <f>IF(O61=""," ",VLOOKUP(O61,'[8]2012 личен състав ОТД'!$A:$AO,13,FALSE))</f>
        <v>0</v>
      </c>
      <c r="Q61" s="7">
        <f>IF(O61=""," ",VLOOKUP(O61,'[8]2012 личен състав ОТД'!$A:$AO,12,FALSE))</f>
        <v>0</v>
      </c>
      <c r="R61" s="7" t="str">
        <f>IF(A61=""," ",VLOOKUP(A61,'Профилиращ лист'!A:B,2,FALSE))</f>
        <v>СПЕ</v>
      </c>
      <c r="T61" s="7">
        <f t="shared" ca="1" si="17"/>
        <v>2013</v>
      </c>
    </row>
    <row r="62" spans="1:20" x14ac:dyDescent="0.25">
      <c r="A62" s="67" t="s">
        <v>148</v>
      </c>
      <c r="B62" s="4">
        <v>30</v>
      </c>
      <c r="C62" s="4">
        <v>30</v>
      </c>
      <c r="D62" s="4">
        <v>15</v>
      </c>
      <c r="E62" s="4">
        <v>15</v>
      </c>
      <c r="F62" s="4">
        <v>0</v>
      </c>
      <c r="G62" s="4">
        <f t="shared" si="24"/>
        <v>60</v>
      </c>
      <c r="H62" s="4">
        <f t="shared" si="23"/>
        <v>90</v>
      </c>
      <c r="I62" s="4">
        <v>3</v>
      </c>
      <c r="J62" s="4" t="s">
        <v>12</v>
      </c>
      <c r="K62" s="73">
        <f t="shared" si="14"/>
        <v>60</v>
      </c>
      <c r="L62" s="73">
        <f t="shared" si="15"/>
        <v>30</v>
      </c>
      <c r="M62" s="73">
        <f t="shared" si="16"/>
        <v>30</v>
      </c>
      <c r="N62" s="7" t="str">
        <f>IF(O62=""," ",VLOOKUP(O62,'[8]2012 личен състав ОТД'!$A:$AO,2,FALSE))</f>
        <v>проф. дфн Иван Кънчев</v>
      </c>
      <c r="O62" s="3" t="s">
        <v>504</v>
      </c>
      <c r="P62" s="7">
        <f>IF(O62=""," ",VLOOKUP(O62,'[8]2012 личен състав ОТД'!$A:$AO,13,FALSE))</f>
        <v>1935</v>
      </c>
      <c r="Q62" s="7" t="str">
        <f>IF(O62=""," ",VLOOKUP(O62,'[8]2012 личен състав ОТД'!$A:$AO,12,FALSE))</f>
        <v>ОТД</v>
      </c>
      <c r="R62" s="7" t="s">
        <v>255</v>
      </c>
      <c r="T62" s="7">
        <f t="shared" ca="1" si="17"/>
        <v>78</v>
      </c>
    </row>
    <row r="63" spans="1:20" x14ac:dyDescent="0.25">
      <c r="A63" s="67" t="s">
        <v>45</v>
      </c>
      <c r="B63" s="4">
        <v>30</v>
      </c>
      <c r="C63" s="4">
        <v>15</v>
      </c>
      <c r="D63" s="4">
        <v>15</v>
      </c>
      <c r="E63" s="4">
        <v>0</v>
      </c>
      <c r="F63" s="4">
        <v>0</v>
      </c>
      <c r="G63" s="4">
        <f t="shared" si="24"/>
        <v>45</v>
      </c>
      <c r="H63" s="4">
        <f t="shared" si="23"/>
        <v>60</v>
      </c>
      <c r="I63" s="4">
        <v>2</v>
      </c>
      <c r="J63" s="4" t="s">
        <v>12</v>
      </c>
      <c r="K63" s="80">
        <f t="shared" si="14"/>
        <v>15</v>
      </c>
      <c r="L63" s="73">
        <f t="shared" si="15"/>
        <v>15</v>
      </c>
      <c r="M63" s="73">
        <f t="shared" si="16"/>
        <v>0</v>
      </c>
      <c r="N63" s="78" t="str">
        <f>IF(O63=""," ",VLOOKUP(O63,'[8]2012 личен състав ОТД'!$A:$AO,2,FALSE))</f>
        <v>гл. ас.  Райна Петрова</v>
      </c>
      <c r="O63" s="79" t="s">
        <v>507</v>
      </c>
      <c r="P63" s="7">
        <f>IF(O63=""," ",VLOOKUP(O63,'[8]2012 личен състав ОТД'!$A:$AO,13,FALSE))</f>
        <v>1978</v>
      </c>
      <c r="Q63" s="7" t="str">
        <f>IF(O63=""," ",VLOOKUP(O63,'[8]2012 личен състав ОТД'!$A:$AO,12,FALSE))</f>
        <v>ОТД</v>
      </c>
      <c r="R63" s="7" t="str">
        <f>IF(A63=""," ",VLOOKUP(A63,'Профилиращ лист'!A:B,2,FALSE))</f>
        <v>ОФД</v>
      </c>
      <c r="T63" s="7">
        <f t="shared" ca="1" si="17"/>
        <v>35</v>
      </c>
    </row>
    <row r="64" spans="1:20" ht="14.1" hidden="1" customHeight="1" x14ac:dyDescent="0.25">
      <c r="A64" s="8" t="s">
        <v>57</v>
      </c>
      <c r="B64" s="4">
        <v>15</v>
      </c>
      <c r="C64" s="4">
        <v>30</v>
      </c>
      <c r="D64" s="4">
        <v>0</v>
      </c>
      <c r="E64" s="4">
        <v>0</v>
      </c>
      <c r="F64" s="4">
        <v>30</v>
      </c>
      <c r="G64" s="4">
        <f t="shared" si="24"/>
        <v>60</v>
      </c>
      <c r="H64" s="4">
        <f t="shared" si="23"/>
        <v>90</v>
      </c>
      <c r="I64" s="4">
        <v>3</v>
      </c>
      <c r="J64" s="4" t="s">
        <v>18</v>
      </c>
      <c r="K64" s="73">
        <f t="shared" si="14"/>
        <v>30</v>
      </c>
      <c r="L64" s="73">
        <f t="shared" si="15"/>
        <v>0</v>
      </c>
      <c r="M64" s="73">
        <f t="shared" si="16"/>
        <v>30</v>
      </c>
      <c r="N64" s="7" t="str">
        <f>IF(O64=""," ",VLOOKUP(O64,'[8]2012 личен състав ОТД'!$A:$AO,2,FALSE))</f>
        <v xml:space="preserve">   </v>
      </c>
      <c r="O64" s="3">
        <f>IF(A64=""," ",VLOOKUP(A64,'Български и английски език'!A:O,15,FALSE))</f>
        <v>0</v>
      </c>
      <c r="P64" s="7">
        <f>IF(O64=""," ",VLOOKUP(O64,'[8]2012 личен състав ОТД'!$A:$AO,13,FALSE))</f>
        <v>0</v>
      </c>
      <c r="Q64" s="7">
        <f>IF(O64=""," ",VLOOKUP(O64,'[8]2012 личен състав ОТД'!$A:$AO,12,FALSE))</f>
        <v>0</v>
      </c>
      <c r="R64" s="7" t="str">
        <f>IF(A64=""," ",VLOOKUP(A64,'Профилиращ лист'!A:B,2,FALSE))</f>
        <v>ПЕД</v>
      </c>
      <c r="T64" s="7">
        <f t="shared" ca="1" si="17"/>
        <v>2013</v>
      </c>
    </row>
    <row r="65" spans="1:20" ht="14.1" hidden="1" customHeight="1" x14ac:dyDescent="0.25">
      <c r="A65" s="8" t="s">
        <v>149</v>
      </c>
      <c r="B65" s="4">
        <v>15</v>
      </c>
      <c r="C65" s="4">
        <v>15</v>
      </c>
      <c r="D65" s="4">
        <v>0</v>
      </c>
      <c r="E65" s="4">
        <v>0</v>
      </c>
      <c r="F65" s="4">
        <v>15</v>
      </c>
      <c r="G65" s="4">
        <f t="shared" si="24"/>
        <v>45</v>
      </c>
      <c r="H65" s="4">
        <f t="shared" si="23"/>
        <v>60</v>
      </c>
      <c r="I65" s="4">
        <v>2</v>
      </c>
      <c r="J65" s="4" t="s">
        <v>18</v>
      </c>
      <c r="K65" s="73">
        <f t="shared" si="14"/>
        <v>15</v>
      </c>
      <c r="L65" s="73">
        <f t="shared" si="15"/>
        <v>0</v>
      </c>
      <c r="M65" s="73">
        <f t="shared" si="16"/>
        <v>15</v>
      </c>
      <c r="N65" s="7" t="e">
        <f>IF(O65=""," ",VLOOKUP(O65,'[8]2012 личен състав ОТД'!$A:$AO,2,FALSE))</f>
        <v>#N/A</v>
      </c>
      <c r="O65" s="3" t="e">
        <f>IF(A65=""," ",VLOOKUP(A65,'Български и английски език'!A:O,15,FALSE))</f>
        <v>#N/A</v>
      </c>
      <c r="P65" s="7" t="e">
        <f>IF(O65=""," ",VLOOKUP(O65,'[8]2012 личен състав ОТД'!$A:$AO,13,FALSE))</f>
        <v>#N/A</v>
      </c>
      <c r="Q65" s="7" t="e">
        <f>IF(O65=""," ",VLOOKUP(O65,'[8]2012 личен състав ОТД'!$A:$AO,12,FALSE))</f>
        <v>#N/A</v>
      </c>
      <c r="R65" s="7" t="s">
        <v>253</v>
      </c>
      <c r="T65" s="7" t="e">
        <f t="shared" ca="1" si="17"/>
        <v>#N/A</v>
      </c>
    </row>
    <row r="66" spans="1:20" ht="15" hidden="1" customHeight="1" x14ac:dyDescent="0.25">
      <c r="A66" s="8"/>
      <c r="B66" s="9">
        <f>SUM(B57:B65)</f>
        <v>330</v>
      </c>
      <c r="C66" s="9">
        <f>SUM(C57:C65)</f>
        <v>360</v>
      </c>
      <c r="D66" s="9">
        <f t="shared" ref="D66:I66" si="25">SUM(D57:D65)</f>
        <v>135</v>
      </c>
      <c r="E66" s="9">
        <f t="shared" si="25"/>
        <v>75</v>
      </c>
      <c r="F66" s="9">
        <f t="shared" si="25"/>
        <v>150</v>
      </c>
      <c r="G66" s="9">
        <f t="shared" si="25"/>
        <v>540</v>
      </c>
      <c r="H66" s="9">
        <f t="shared" si="25"/>
        <v>900</v>
      </c>
      <c r="I66" s="9">
        <f t="shared" si="25"/>
        <v>30</v>
      </c>
      <c r="J66" s="6"/>
      <c r="K66" s="73">
        <f t="shared" si="14"/>
        <v>0</v>
      </c>
      <c r="L66" s="73">
        <f t="shared" si="15"/>
        <v>0</v>
      </c>
      <c r="M66" s="73">
        <f t="shared" si="16"/>
        <v>0</v>
      </c>
      <c r="N66" s="7" t="e">
        <f>IF(O66=""," ",VLOOKUP(O66,'[8]2012 личен състав ОТД'!$A:$AO,2,FALSE))</f>
        <v>#N/A</v>
      </c>
      <c r="O66" s="3" t="str">
        <f>IF(A66=""," ",VLOOKUP(A66,'Български и английски език'!A:O,15,FALSE))</f>
        <v xml:space="preserve"> </v>
      </c>
      <c r="P66" s="7" t="e">
        <f>IF(O66=""," ",VLOOKUP(O66,'[8]2012 личен състав ОТД'!$A:$AO,13,FALSE))</f>
        <v>#N/A</v>
      </c>
      <c r="Q66" s="7" t="e">
        <f>IF(O66=""," ",VLOOKUP(O66,'[8]2012 личен състав ОТД'!$A:$AO,12,FALSE))</f>
        <v>#N/A</v>
      </c>
      <c r="T66" s="7" t="e">
        <f t="shared" ca="1" si="17"/>
        <v>#N/A</v>
      </c>
    </row>
    <row r="67" spans="1:20" ht="14.1" hidden="1" customHeight="1" x14ac:dyDescent="0.25">
      <c r="A67" s="1" t="s">
        <v>59</v>
      </c>
      <c r="B67" s="1"/>
      <c r="J67" s="6"/>
      <c r="K67" s="73">
        <f t="shared" ref="K67:K98" si="26">SUMIF(A:A,A67,C:C)</f>
        <v>0</v>
      </c>
      <c r="L67" s="73">
        <f t="shared" ref="L67:L98" si="27">SUMIF(A:A,A67,D:D)</f>
        <v>0</v>
      </c>
      <c r="M67" s="73">
        <f t="shared" ref="M67:M98" si="28">SUMIF(A:A,A67,E:E)+SUMIF(A:A,A67,F:F)</f>
        <v>0</v>
      </c>
      <c r="N67" s="7" t="str">
        <f>IF(O67=""," ",VLOOKUP(O67,'[8]2012 личен състав ОТД'!$A:$AO,2,FALSE))</f>
        <v xml:space="preserve">   </v>
      </c>
      <c r="O67" s="3">
        <f>IF(A67=""," ",VLOOKUP(A67,'Български и английски език'!A:O,15,FALSE))</f>
        <v>0</v>
      </c>
      <c r="P67" s="7">
        <f>IF(O67=""," ",VLOOKUP(O67,'[8]2012 личен състав ОТД'!$A:$AO,13,FALSE))</f>
        <v>0</v>
      </c>
      <c r="Q67" s="7">
        <f>IF(O67=""," ",VLOOKUP(O67,'[8]2012 личен състав ОТД'!$A:$AO,12,FALSE))</f>
        <v>0</v>
      </c>
      <c r="T67" s="7">
        <f t="shared" ref="T67:T95" ca="1" si="29">Години-P67</f>
        <v>2013</v>
      </c>
    </row>
    <row r="68" spans="1:20" ht="14.1" hidden="1" customHeight="1" x14ac:dyDescent="0.25">
      <c r="A68" s="8" t="s">
        <v>62</v>
      </c>
      <c r="B68" s="4">
        <v>45</v>
      </c>
      <c r="C68" s="4">
        <v>45</v>
      </c>
      <c r="D68" s="4">
        <v>45</v>
      </c>
      <c r="E68" s="4">
        <v>0</v>
      </c>
      <c r="F68" s="4">
        <v>0</v>
      </c>
      <c r="G68" s="4">
        <f>H68-C68</f>
        <v>45</v>
      </c>
      <c r="H68" s="4">
        <f t="shared" ref="H68:H77" si="30">I68*30</f>
        <v>90</v>
      </c>
      <c r="I68" s="4">
        <v>3</v>
      </c>
      <c r="J68" s="4" t="s">
        <v>14</v>
      </c>
      <c r="K68" s="73">
        <f t="shared" si="26"/>
        <v>90</v>
      </c>
      <c r="L68" s="73">
        <f t="shared" si="27"/>
        <v>75</v>
      </c>
      <c r="M68" s="73">
        <f t="shared" si="28"/>
        <v>15</v>
      </c>
      <c r="N68" s="7" t="str">
        <f>IF(O68=""," ",VLOOKUP(O68,'[8]2012 личен състав ОТД'!$A:$AO,2,FALSE))</f>
        <v xml:space="preserve">   </v>
      </c>
      <c r="O68" s="3">
        <f>IF(A68=""," ",VLOOKUP(A68,'Български и английски език'!A:O,15,FALSE))</f>
        <v>0</v>
      </c>
      <c r="P68" s="7">
        <f>IF(O68=""," ",VLOOKUP(O68,'[8]2012 личен състав ОТД'!$A:$AO,13,FALSE))</f>
        <v>0</v>
      </c>
      <c r="Q68" s="7">
        <f>IF(O68=""," ",VLOOKUP(O68,'[8]2012 личен състав ОТД'!$A:$AO,12,FALSE))</f>
        <v>0</v>
      </c>
      <c r="R68" s="7" t="str">
        <f>IF(A68=""," ",VLOOKUP(A68,'Профилиращ лист'!A:B,2,FALSE))</f>
        <v>СПЕ</v>
      </c>
      <c r="T68" s="7">
        <f t="shared" ca="1" si="29"/>
        <v>2013</v>
      </c>
    </row>
    <row r="69" spans="1:20" ht="14.1" hidden="1" customHeight="1" x14ac:dyDescent="0.25">
      <c r="A69" s="8" t="s">
        <v>150</v>
      </c>
      <c r="B69" s="4">
        <v>30</v>
      </c>
      <c r="C69" s="4">
        <v>30</v>
      </c>
      <c r="D69" s="4">
        <v>15</v>
      </c>
      <c r="E69" s="4">
        <v>15</v>
      </c>
      <c r="F69" s="4">
        <v>0</v>
      </c>
      <c r="G69" s="4">
        <f t="shared" ref="G69:G77" si="31">H69-C69</f>
        <v>60</v>
      </c>
      <c r="H69" s="4">
        <f t="shared" si="30"/>
        <v>90</v>
      </c>
      <c r="I69" s="4">
        <v>3</v>
      </c>
      <c r="J69" s="4" t="s">
        <v>14</v>
      </c>
      <c r="K69" s="73">
        <f t="shared" si="26"/>
        <v>60</v>
      </c>
      <c r="L69" s="73">
        <f t="shared" si="27"/>
        <v>30</v>
      </c>
      <c r="M69" s="73">
        <f t="shared" si="28"/>
        <v>30</v>
      </c>
      <c r="N69" s="7" t="e">
        <f>IF(O69=""," ",VLOOKUP(O69,'[8]2012 личен състав ОТД'!$A:$AO,2,FALSE))</f>
        <v>#N/A</v>
      </c>
      <c r="O69" s="3" t="e">
        <f>IF(A69=""," ",VLOOKUP(A69,'Български и английски език'!A:O,15,FALSE))</f>
        <v>#N/A</v>
      </c>
      <c r="P69" s="7" t="e">
        <f>IF(O69=""," ",VLOOKUP(O69,'[8]2012 личен състав ОТД'!$A:$AO,13,FALSE))</f>
        <v>#N/A</v>
      </c>
      <c r="Q69" s="7" t="e">
        <f>IF(O69=""," ",VLOOKUP(O69,'[8]2012 личен състав ОТД'!$A:$AO,12,FALSE))</f>
        <v>#N/A</v>
      </c>
      <c r="R69" s="7" t="s">
        <v>255</v>
      </c>
      <c r="T69" s="7" t="e">
        <f t="shared" ca="1" si="29"/>
        <v>#N/A</v>
      </c>
    </row>
    <row r="70" spans="1:20" x14ac:dyDescent="0.25">
      <c r="A70" s="67" t="s">
        <v>64</v>
      </c>
      <c r="B70" s="4">
        <v>15</v>
      </c>
      <c r="C70" s="4">
        <v>15</v>
      </c>
      <c r="D70" s="4">
        <v>15</v>
      </c>
      <c r="E70" s="4">
        <v>0</v>
      </c>
      <c r="F70" s="4">
        <v>0</v>
      </c>
      <c r="G70" s="4">
        <f t="shared" si="31"/>
        <v>75</v>
      </c>
      <c r="H70" s="4">
        <f t="shared" si="30"/>
        <v>90</v>
      </c>
      <c r="I70" s="4">
        <v>3</v>
      </c>
      <c r="J70" s="4" t="s">
        <v>12</v>
      </c>
      <c r="K70" s="73">
        <f t="shared" si="26"/>
        <v>15</v>
      </c>
      <c r="L70" s="73">
        <f t="shared" si="27"/>
        <v>15</v>
      </c>
      <c r="M70" s="73">
        <f t="shared" si="28"/>
        <v>0</v>
      </c>
      <c r="N70" s="7" t="str">
        <f>IF(O70=""," ",VLOOKUP(O70,'[8]2012 личен състав ОТД'!$A:$AO,2,FALSE))</f>
        <v>гл. ас. д-р Марина Самалиева</v>
      </c>
      <c r="O70" s="3" t="str">
        <f>IF(A70=""," ",VLOOKUP(A70,'Български и английски език'!A:O,15,FALSE))</f>
        <v>самалиева</v>
      </c>
      <c r="P70" s="7">
        <f>IF(O70=""," ",VLOOKUP(O70,'[8]2012 личен състав ОТД'!$A:$AO,13,FALSE))</f>
        <v>1960</v>
      </c>
      <c r="Q70" s="7" t="str">
        <f>IF(O70=""," ",VLOOKUP(O70,'[8]2012 личен състав ОТД'!$A:$AO,12,FALSE))</f>
        <v>ОТД</v>
      </c>
      <c r="R70" s="7" t="str">
        <f>IF(A70=""," ",VLOOKUP(A70,'Профилиращ лист'!A:B,2,FALSE))</f>
        <v>ПЕД</v>
      </c>
      <c r="T70" s="7">
        <f t="shared" ca="1" si="29"/>
        <v>53</v>
      </c>
    </row>
    <row r="71" spans="1:20" x14ac:dyDescent="0.25">
      <c r="A71" s="67" t="s">
        <v>65</v>
      </c>
      <c r="B71" s="4">
        <v>15</v>
      </c>
      <c r="C71" s="4">
        <v>15</v>
      </c>
      <c r="D71" s="4">
        <v>15</v>
      </c>
      <c r="E71" s="4">
        <v>0</v>
      </c>
      <c r="F71" s="4">
        <v>0</v>
      </c>
      <c r="G71" s="4">
        <f t="shared" si="31"/>
        <v>75</v>
      </c>
      <c r="H71" s="4">
        <f t="shared" si="30"/>
        <v>90</v>
      </c>
      <c r="I71" s="4">
        <v>3</v>
      </c>
      <c r="J71" s="4" t="s">
        <v>12</v>
      </c>
      <c r="K71" s="73">
        <f t="shared" si="26"/>
        <v>15</v>
      </c>
      <c r="L71" s="73">
        <f t="shared" si="27"/>
        <v>15</v>
      </c>
      <c r="M71" s="73">
        <f t="shared" si="28"/>
        <v>0</v>
      </c>
      <c r="N71" s="7" t="str">
        <f>IF(O71=""," ",VLOOKUP(O71,'[8]2012 личен състав ОТД'!$A:$AO,2,FALSE))</f>
        <v>доц. д-р Пенка Гарушева-Карамалакова</v>
      </c>
      <c r="O71" s="3" t="str">
        <f>IF(A71=""," ",VLOOKUP(A71,'Български и английски език'!A:O,15,FALSE))</f>
        <v>гарушева</v>
      </c>
      <c r="P71" s="7">
        <f>IF(O71=""," ",VLOOKUP(O71,'[8]2012 личен състав ОТД'!$A:$AO,13,FALSE))</f>
        <v>1947</v>
      </c>
      <c r="Q71" s="7" t="str">
        <f>IF(O71=""," ",VLOOKUP(O71,'[8]2012 личен състав ОТД'!$A:$AO,12,FALSE))</f>
        <v>ОТД</v>
      </c>
      <c r="R71" s="7" t="str">
        <f>IF(A71=""," ",VLOOKUP(A71,'Профилиращ лист'!A:B,2,FALSE))</f>
        <v>ПЕД</v>
      </c>
      <c r="T71" s="7">
        <f t="shared" ca="1" si="29"/>
        <v>66</v>
      </c>
    </row>
    <row r="72" spans="1:20" x14ac:dyDescent="0.25">
      <c r="A72" s="67" t="s">
        <v>151</v>
      </c>
      <c r="B72" s="4">
        <v>30</v>
      </c>
      <c r="C72" s="4">
        <v>30</v>
      </c>
      <c r="D72" s="4">
        <v>30</v>
      </c>
      <c r="E72" s="4">
        <v>0</v>
      </c>
      <c r="F72" s="4">
        <v>0</v>
      </c>
      <c r="G72" s="4">
        <f t="shared" si="31"/>
        <v>60</v>
      </c>
      <c r="H72" s="4">
        <f t="shared" si="30"/>
        <v>90</v>
      </c>
      <c r="I72" s="4">
        <v>3</v>
      </c>
      <c r="J72" s="4" t="s">
        <v>12</v>
      </c>
      <c r="K72" s="73">
        <f t="shared" si="26"/>
        <v>30</v>
      </c>
      <c r="L72" s="73">
        <f t="shared" si="27"/>
        <v>30</v>
      </c>
      <c r="M72" s="73">
        <f t="shared" si="28"/>
        <v>0</v>
      </c>
      <c r="N72" s="7" t="str">
        <f>IF(O72=""," ",VLOOKUP(O72,'[8]2012 личен състав ОТД'!$A:$AO,2,FALSE))</f>
        <v>ас.  Джесика Сиаботару</v>
      </c>
      <c r="O72" s="3" t="s">
        <v>506</v>
      </c>
      <c r="P72" s="7">
        <f>IF(O72=""," ",VLOOKUP(O72,'[8]2012 личен състав ОТД'!$A:$AO,13,FALSE))</f>
        <v>0</v>
      </c>
      <c r="Q72" s="7" t="str">
        <f>IF(O72=""," ",VLOOKUP(O72,'[8]2012 личен състав ОТД'!$A:$AO,12,FALSE))</f>
        <v>ХОН</v>
      </c>
      <c r="R72" s="7" t="s">
        <v>253</v>
      </c>
      <c r="T72" s="7">
        <f t="shared" ca="1" si="29"/>
        <v>2013</v>
      </c>
    </row>
    <row r="73" spans="1:20" hidden="1" x14ac:dyDescent="0.25">
      <c r="A73" s="8" t="s">
        <v>140</v>
      </c>
      <c r="B73" s="4">
        <v>90</v>
      </c>
      <c r="C73" s="4">
        <v>75</v>
      </c>
      <c r="D73" s="4">
        <v>0</v>
      </c>
      <c r="E73" s="4">
        <v>0</v>
      </c>
      <c r="F73" s="4">
        <v>75</v>
      </c>
      <c r="G73" s="4">
        <f t="shared" si="31"/>
        <v>75</v>
      </c>
      <c r="H73" s="4">
        <f t="shared" si="30"/>
        <v>150</v>
      </c>
      <c r="I73" s="4">
        <v>5</v>
      </c>
      <c r="J73" s="4" t="s">
        <v>14</v>
      </c>
      <c r="K73" s="73">
        <f t="shared" si="26"/>
        <v>735</v>
      </c>
      <c r="L73" s="73">
        <f t="shared" si="27"/>
        <v>0</v>
      </c>
      <c r="M73" s="73">
        <f t="shared" si="28"/>
        <v>735</v>
      </c>
      <c r="N73" s="7" t="e">
        <f>IF(O73=""," ",VLOOKUP(O73,'[8]2012 личен състав ОТД'!$A:$AO,2,FALSE))</f>
        <v>#N/A</v>
      </c>
      <c r="O73" s="3" t="e">
        <f>IF(A73=""," ",VLOOKUP(A73,'Български и английски език'!A:O,15,FALSE))</f>
        <v>#N/A</v>
      </c>
      <c r="P73" s="7" t="e">
        <f>IF(O73=""," ",VLOOKUP(O73,'[8]2012 личен състав ОТД'!$A:$AO,13,FALSE))</f>
        <v>#N/A</v>
      </c>
      <c r="Q73" s="7" t="e">
        <f>IF(O73=""," ",VLOOKUP(O73,'[8]2012 личен състав ОТД'!$A:$AO,12,FALSE))</f>
        <v>#N/A</v>
      </c>
      <c r="R73" s="7" t="e">
        <f>IF(A73=""," ",VLOOKUP(A73,'Профилиращ лист'!A:B,2,FALSE))</f>
        <v>#N/A</v>
      </c>
      <c r="T73" s="7" t="e">
        <f t="shared" ca="1" si="29"/>
        <v>#N/A</v>
      </c>
    </row>
    <row r="74" spans="1:20" x14ac:dyDescent="0.25">
      <c r="A74" s="67" t="s">
        <v>54</v>
      </c>
      <c r="B74" s="4">
        <v>30</v>
      </c>
      <c r="C74" s="4">
        <v>45</v>
      </c>
      <c r="D74" s="4">
        <v>15</v>
      </c>
      <c r="E74" s="4">
        <v>30</v>
      </c>
      <c r="F74" s="4">
        <v>0</v>
      </c>
      <c r="G74" s="4">
        <f t="shared" si="31"/>
        <v>45</v>
      </c>
      <c r="H74" s="4">
        <f t="shared" si="30"/>
        <v>90</v>
      </c>
      <c r="I74" s="4">
        <v>3</v>
      </c>
      <c r="J74" s="4" t="s">
        <v>12</v>
      </c>
      <c r="K74" s="73">
        <f t="shared" si="26"/>
        <v>75</v>
      </c>
      <c r="L74" s="73">
        <f t="shared" si="27"/>
        <v>45</v>
      </c>
      <c r="M74" s="73">
        <f t="shared" si="28"/>
        <v>30</v>
      </c>
      <c r="N74" s="7" t="str">
        <f>IF(O74=""," ",VLOOKUP(O74,'[8]2012 личен състав ОТД'!$A:$AO,2,FALSE))</f>
        <v>доц. д-р Петя Бъркалова</v>
      </c>
      <c r="O74" s="3" t="s">
        <v>479</v>
      </c>
      <c r="P74" s="7">
        <f>IF(O74=""," ",VLOOKUP(O74,'[8]2012 личен състав ОТД'!$A:$AO,13,FALSE))</f>
        <v>1956</v>
      </c>
      <c r="Q74" s="7" t="str">
        <f>IF(O74=""," ",VLOOKUP(O74,'[8]2012 личен състав ОТД'!$A:$AO,12,FALSE))</f>
        <v>ОТД</v>
      </c>
      <c r="R74" s="7" t="str">
        <f>IF(A74=""," ",VLOOKUP(A74,'Профилиращ лист'!A:B,2,FALSE))</f>
        <v>СПЕ</v>
      </c>
      <c r="T74" s="7">
        <f t="shared" ca="1" si="29"/>
        <v>57</v>
      </c>
    </row>
    <row r="75" spans="1:20" x14ac:dyDescent="0.25">
      <c r="A75" s="67" t="s">
        <v>148</v>
      </c>
      <c r="B75" s="4">
        <v>30</v>
      </c>
      <c r="C75" s="4">
        <v>30</v>
      </c>
      <c r="D75" s="4">
        <v>15</v>
      </c>
      <c r="E75" s="4">
        <v>15</v>
      </c>
      <c r="F75" s="4">
        <v>0</v>
      </c>
      <c r="G75" s="4">
        <f t="shared" si="31"/>
        <v>60</v>
      </c>
      <c r="H75" s="4">
        <f t="shared" si="30"/>
        <v>90</v>
      </c>
      <c r="I75" s="4">
        <v>3</v>
      </c>
      <c r="J75" s="4" t="s">
        <v>12</v>
      </c>
      <c r="K75" s="73">
        <f t="shared" si="26"/>
        <v>60</v>
      </c>
      <c r="L75" s="73">
        <f t="shared" si="27"/>
        <v>30</v>
      </c>
      <c r="M75" s="73">
        <f t="shared" si="28"/>
        <v>30</v>
      </c>
      <c r="N75" s="7" t="str">
        <f>IF(O75=""," ",VLOOKUP(O75,'[8]2012 личен състав ОТД'!$A:$AO,2,FALSE))</f>
        <v>проф. дфн Иван Кънчев</v>
      </c>
      <c r="O75" s="3" t="s">
        <v>504</v>
      </c>
      <c r="P75" s="7">
        <f>IF(O75=""," ",VLOOKUP(O75,'[8]2012 личен състав ОТД'!$A:$AO,13,FALSE))</f>
        <v>1935</v>
      </c>
      <c r="Q75" s="7" t="str">
        <f>IF(O75=""," ",VLOOKUP(O75,'[8]2012 личен състав ОТД'!$A:$AO,12,FALSE))</f>
        <v>ОТД</v>
      </c>
      <c r="R75" s="7" t="s">
        <v>255</v>
      </c>
      <c r="T75" s="7">
        <f t="shared" ca="1" si="29"/>
        <v>78</v>
      </c>
    </row>
    <row r="76" spans="1:20" ht="14.1" hidden="1" customHeight="1" x14ac:dyDescent="0.25">
      <c r="A76" s="8" t="s">
        <v>66</v>
      </c>
      <c r="B76" s="4">
        <v>30</v>
      </c>
      <c r="C76" s="4">
        <v>30</v>
      </c>
      <c r="D76" s="4">
        <v>0</v>
      </c>
      <c r="E76" s="4">
        <v>0</v>
      </c>
      <c r="F76" s="4">
        <v>30</v>
      </c>
      <c r="G76" s="4">
        <f t="shared" si="31"/>
        <v>30</v>
      </c>
      <c r="H76" s="4">
        <f t="shared" si="30"/>
        <v>60</v>
      </c>
      <c r="I76" s="4">
        <v>2</v>
      </c>
      <c r="J76" s="4" t="s">
        <v>18</v>
      </c>
      <c r="K76" s="73">
        <f t="shared" si="26"/>
        <v>30</v>
      </c>
      <c r="L76" s="73">
        <f t="shared" si="27"/>
        <v>0</v>
      </c>
      <c r="M76" s="73">
        <f t="shared" si="28"/>
        <v>30</v>
      </c>
      <c r="N76" s="7" t="str">
        <f>IF(O76=""," ",VLOOKUP(O76,'[8]2012 личен състав ОТД'!$A:$AO,2,FALSE))</f>
        <v xml:space="preserve">   </v>
      </c>
      <c r="O76" s="3">
        <f>IF(A76=""," ",VLOOKUP(A76,'Български и английски език'!A:O,15,FALSE))</f>
        <v>0</v>
      </c>
      <c r="P76" s="7">
        <f>IF(O76=""," ",VLOOKUP(O76,'[8]2012 личен състав ОТД'!$A:$AO,13,FALSE))</f>
        <v>0</v>
      </c>
      <c r="Q76" s="7">
        <f>IF(O76=""," ",VLOOKUP(O76,'[8]2012 личен състав ОТД'!$A:$AO,12,FALSE))</f>
        <v>0</v>
      </c>
      <c r="R76" s="7" t="s">
        <v>263</v>
      </c>
      <c r="T76" s="7">
        <f t="shared" ca="1" si="29"/>
        <v>2013</v>
      </c>
    </row>
    <row r="77" spans="1:20" ht="14.1" hidden="1" customHeight="1" x14ac:dyDescent="0.25">
      <c r="A77" s="8" t="s">
        <v>152</v>
      </c>
      <c r="B77" s="4">
        <v>15</v>
      </c>
      <c r="C77" s="4">
        <v>15</v>
      </c>
      <c r="D77" s="4">
        <v>0</v>
      </c>
      <c r="E77" s="4">
        <v>0</v>
      </c>
      <c r="F77" s="4">
        <v>15</v>
      </c>
      <c r="G77" s="4">
        <f t="shared" si="31"/>
        <v>45</v>
      </c>
      <c r="H77" s="4">
        <f t="shared" si="30"/>
        <v>60</v>
      </c>
      <c r="I77" s="4">
        <v>2</v>
      </c>
      <c r="J77" s="4" t="s">
        <v>18</v>
      </c>
      <c r="K77" s="73">
        <f t="shared" si="26"/>
        <v>15</v>
      </c>
      <c r="L77" s="73">
        <f t="shared" si="27"/>
        <v>0</v>
      </c>
      <c r="M77" s="73">
        <f t="shared" si="28"/>
        <v>15</v>
      </c>
      <c r="N77" s="7" t="e">
        <f>IF(O77=""," ",VLOOKUP(O77,'[8]2012 личен състав ОТД'!$A:$AO,2,FALSE))</f>
        <v>#N/A</v>
      </c>
      <c r="O77" s="3" t="e">
        <f>IF(A77=""," ",VLOOKUP(A77,'Български и английски език'!A:O,15,FALSE))</f>
        <v>#N/A</v>
      </c>
      <c r="P77" s="7" t="e">
        <f>IF(O77=""," ",VLOOKUP(O77,'[8]2012 личен състав ОТД'!$A:$AO,13,FALSE))</f>
        <v>#N/A</v>
      </c>
      <c r="Q77" s="7" t="e">
        <f>IF(O77=""," ",VLOOKUP(O77,'[8]2012 личен състав ОТД'!$A:$AO,12,FALSE))</f>
        <v>#N/A</v>
      </c>
      <c r="R77" s="7" t="s">
        <v>263</v>
      </c>
      <c r="T77" s="7" t="e">
        <f t="shared" ca="1" si="29"/>
        <v>#N/A</v>
      </c>
    </row>
    <row r="78" spans="1:20" ht="15" hidden="1" customHeight="1" x14ac:dyDescent="0.25">
      <c r="A78" s="8"/>
      <c r="B78" s="9">
        <v>375</v>
      </c>
      <c r="C78" s="9">
        <v>375</v>
      </c>
      <c r="D78" s="9">
        <v>225</v>
      </c>
      <c r="E78" s="9">
        <v>15</v>
      </c>
      <c r="F78" s="9">
        <v>150</v>
      </c>
      <c r="G78" s="9">
        <v>525</v>
      </c>
      <c r="H78" s="9">
        <v>900</v>
      </c>
      <c r="I78" s="9">
        <f>SUM(I68:I77)</f>
        <v>30</v>
      </c>
      <c r="J78" s="6"/>
      <c r="K78" s="73">
        <f t="shared" si="26"/>
        <v>0</v>
      </c>
      <c r="L78" s="73">
        <f t="shared" si="27"/>
        <v>0</v>
      </c>
      <c r="M78" s="73">
        <f t="shared" si="28"/>
        <v>0</v>
      </c>
      <c r="N78" s="7" t="e">
        <f>IF(O78=""," ",VLOOKUP(O78,'[8]2012 личен състав ОТД'!$A:$AO,2,FALSE))</f>
        <v>#N/A</v>
      </c>
      <c r="O78" s="3" t="str">
        <f>IF(A78=""," ",VLOOKUP(A78,'Български и английски език'!A:O,15,FALSE))</f>
        <v xml:space="preserve"> </v>
      </c>
      <c r="P78" s="7" t="e">
        <f>IF(O78=""," ",VLOOKUP(O78,'[8]2012 личен състав ОТД'!$A:$AO,13,FALSE))</f>
        <v>#N/A</v>
      </c>
      <c r="Q78" s="7" t="e">
        <f>IF(O78=""," ",VLOOKUP(O78,'[8]2012 личен състав ОТД'!$A:$AO,12,FALSE))</f>
        <v>#N/A</v>
      </c>
      <c r="R78" s="7" t="str">
        <f>IF(A78=""," ",VLOOKUP(A78,'Профилиращ лист'!A:B,2,FALSE))</f>
        <v xml:space="preserve"> </v>
      </c>
      <c r="T78" s="7" t="e">
        <f t="shared" ca="1" si="29"/>
        <v>#N/A</v>
      </c>
    </row>
    <row r="79" spans="1:20" ht="15" hidden="1" customHeight="1" x14ac:dyDescent="0.25">
      <c r="A79" s="1" t="s">
        <v>68</v>
      </c>
      <c r="B79" s="1"/>
      <c r="J79" s="6"/>
      <c r="K79" s="73">
        <f t="shared" si="26"/>
        <v>0</v>
      </c>
      <c r="L79" s="73">
        <f t="shared" si="27"/>
        <v>0</v>
      </c>
      <c r="M79" s="73">
        <f t="shared" si="28"/>
        <v>0</v>
      </c>
      <c r="N79" s="7" t="str">
        <f>IF(O79=""," ",VLOOKUP(O79,'[8]2012 личен състав ОТД'!$A:$AO,2,FALSE))</f>
        <v xml:space="preserve">   </v>
      </c>
      <c r="O79" s="3">
        <f>IF(A79=""," ",VLOOKUP(A79,'Български и английски език'!A:O,15,FALSE))</f>
        <v>0</v>
      </c>
      <c r="P79" s="7">
        <f>IF(O79=""," ",VLOOKUP(O79,'[8]2012 личен състав ОТД'!$A:$AO,13,FALSE))</f>
        <v>0</v>
      </c>
      <c r="Q79" s="7">
        <f>IF(O79=""," ",VLOOKUP(O79,'[8]2012 личен състав ОТД'!$A:$AO,12,FALSE))</f>
        <v>0</v>
      </c>
      <c r="R79" s="7" t="e">
        <f>IF(A79=""," ",VLOOKUP(A79,'Профилиращ лист'!A:B,2,FALSE))</f>
        <v>#N/A</v>
      </c>
      <c r="T79" s="7">
        <f t="shared" ca="1" si="29"/>
        <v>2013</v>
      </c>
    </row>
    <row r="80" spans="1:20" x14ac:dyDescent="0.25">
      <c r="A80" s="67" t="s">
        <v>62</v>
      </c>
      <c r="B80" s="4">
        <v>30</v>
      </c>
      <c r="C80" s="4">
        <v>45</v>
      </c>
      <c r="D80" s="4">
        <v>30</v>
      </c>
      <c r="E80" s="4">
        <v>15</v>
      </c>
      <c r="F80" s="4">
        <v>0</v>
      </c>
      <c r="G80" s="4">
        <f>H80-C80</f>
        <v>105</v>
      </c>
      <c r="H80" s="4">
        <f t="shared" ref="H80:H86" si="32">I80*30</f>
        <v>150</v>
      </c>
      <c r="I80" s="4">
        <v>5</v>
      </c>
      <c r="J80" s="4" t="s">
        <v>12</v>
      </c>
      <c r="K80" s="73">
        <f t="shared" si="26"/>
        <v>90</v>
      </c>
      <c r="L80" s="73">
        <f t="shared" si="27"/>
        <v>75</v>
      </c>
      <c r="M80" s="73">
        <f t="shared" si="28"/>
        <v>15</v>
      </c>
      <c r="N80" s="7" t="str">
        <f>IF(O80=""," ",VLOOKUP(O80,'[8]2012 личен състав ОТД'!$A:$AO,2,FALSE))</f>
        <v>доц. д-р Татяна Ичевска</v>
      </c>
      <c r="O80" s="3" t="s">
        <v>480</v>
      </c>
      <c r="P80" s="7">
        <f>IF(O80=""," ",VLOOKUP(O80,'[8]2012 личен състав ОТД'!$A:$AO,13,FALSE))</f>
        <v>1970</v>
      </c>
      <c r="Q80" s="7" t="str">
        <f>IF(O80=""," ",VLOOKUP(O80,'[8]2012 личен състав ОТД'!$A:$AO,12,FALSE))</f>
        <v>ОТД</v>
      </c>
      <c r="R80" s="7" t="str">
        <f>IF(A80=""," ",VLOOKUP(A80,'Профилиращ лист'!A:B,2,FALSE))</f>
        <v>СПЕ</v>
      </c>
      <c r="T80" s="7">
        <f t="shared" ca="1" si="29"/>
        <v>43</v>
      </c>
    </row>
    <row r="81" spans="1:20" x14ac:dyDescent="0.25">
      <c r="A81" s="67" t="s">
        <v>150</v>
      </c>
      <c r="B81" s="4">
        <v>30</v>
      </c>
      <c r="C81" s="4">
        <v>30</v>
      </c>
      <c r="D81" s="4">
        <v>15</v>
      </c>
      <c r="E81" s="4">
        <v>15</v>
      </c>
      <c r="F81" s="4">
        <v>0</v>
      </c>
      <c r="G81" s="4">
        <f t="shared" ref="G81:G86" si="33">H81-C81</f>
        <v>60</v>
      </c>
      <c r="H81" s="4">
        <f t="shared" si="32"/>
        <v>90</v>
      </c>
      <c r="I81" s="4">
        <v>3</v>
      </c>
      <c r="J81" s="4" t="s">
        <v>12</v>
      </c>
      <c r="K81" s="73">
        <f t="shared" si="26"/>
        <v>60</v>
      </c>
      <c r="L81" s="73">
        <f t="shared" si="27"/>
        <v>30</v>
      </c>
      <c r="M81" s="73">
        <f t="shared" si="28"/>
        <v>30</v>
      </c>
      <c r="N81" s="7" t="str">
        <f>IF(O81=""," ",VLOOKUP(O81,'[8]2012 личен състав ОТД'!$A:$AO,2,FALSE))</f>
        <v>доц. д-р Петър  Моллов</v>
      </c>
      <c r="O81" s="3" t="s">
        <v>505</v>
      </c>
      <c r="P81" s="7">
        <f>IF(O81=""," ",VLOOKUP(O81,'[8]2012 личен състав ОТД'!$A:$AO,13,FALSE))</f>
        <v>0</v>
      </c>
      <c r="Q81" s="7" t="str">
        <f>IF(O81=""," ",VLOOKUP(O81,'[8]2012 личен състав ОТД'!$A:$AO,12,FALSE))</f>
        <v>ХОН</v>
      </c>
      <c r="R81" s="7" t="s">
        <v>255</v>
      </c>
      <c r="T81" s="7">
        <f t="shared" ca="1" si="29"/>
        <v>2013</v>
      </c>
    </row>
    <row r="82" spans="1:20" ht="15" hidden="1" customHeight="1" x14ac:dyDescent="0.25">
      <c r="A82" s="8" t="s">
        <v>140</v>
      </c>
      <c r="B82" s="4">
        <v>90</v>
      </c>
      <c r="C82" s="4">
        <v>75</v>
      </c>
      <c r="D82" s="4">
        <v>0</v>
      </c>
      <c r="E82" s="4">
        <v>0</v>
      </c>
      <c r="F82" s="4">
        <v>75</v>
      </c>
      <c r="G82" s="4">
        <f t="shared" si="33"/>
        <v>135</v>
      </c>
      <c r="H82" s="4">
        <f t="shared" si="32"/>
        <v>210</v>
      </c>
      <c r="I82" s="4">
        <v>7</v>
      </c>
      <c r="J82" s="4" t="s">
        <v>12</v>
      </c>
      <c r="K82" s="73">
        <f t="shared" si="26"/>
        <v>735</v>
      </c>
      <c r="L82" s="73">
        <f t="shared" si="27"/>
        <v>0</v>
      </c>
      <c r="M82" s="73">
        <f t="shared" si="28"/>
        <v>735</v>
      </c>
      <c r="N82" s="7" t="e">
        <f>IF(O82=""," ",VLOOKUP(O82,'[8]2012 личен състав ОТД'!$A:$AO,2,FALSE))</f>
        <v>#N/A</v>
      </c>
      <c r="O82" s="3" t="e">
        <f>IF(A82=""," ",VLOOKUP(A82,'Български и английски език'!A:O,15,FALSE))</f>
        <v>#N/A</v>
      </c>
      <c r="P82" s="7" t="e">
        <f>IF(O82=""," ",VLOOKUP(O82,'[8]2012 личен състав ОТД'!$A:$AO,13,FALSE))</f>
        <v>#N/A</v>
      </c>
      <c r="Q82" s="7" t="e">
        <f>IF(O82=""," ",VLOOKUP(O82,'[8]2012 личен състав ОТД'!$A:$AO,12,FALSE))</f>
        <v>#N/A</v>
      </c>
      <c r="R82" s="7" t="e">
        <f>IF(A82=""," ",VLOOKUP(A82,'Профилиращ лист'!A:B,2,FALSE))</f>
        <v>#N/A</v>
      </c>
      <c r="T82" s="7" t="e">
        <f t="shared" ca="1" si="29"/>
        <v>#N/A</v>
      </c>
    </row>
    <row r="83" spans="1:20" ht="15" hidden="1" customHeight="1" x14ac:dyDescent="0.25">
      <c r="A83" s="8" t="s">
        <v>71</v>
      </c>
      <c r="B83" s="4">
        <v>45</v>
      </c>
      <c r="C83" s="4">
        <v>45</v>
      </c>
      <c r="D83" s="4">
        <v>0</v>
      </c>
      <c r="E83" s="4">
        <v>0</v>
      </c>
      <c r="F83" s="4">
        <v>45</v>
      </c>
      <c r="G83" s="4">
        <f t="shared" si="33"/>
        <v>75</v>
      </c>
      <c r="H83" s="4">
        <f t="shared" si="32"/>
        <v>120</v>
      </c>
      <c r="I83" s="4">
        <v>4</v>
      </c>
      <c r="J83" s="4" t="s">
        <v>12</v>
      </c>
      <c r="K83" s="73">
        <f t="shared" si="26"/>
        <v>45</v>
      </c>
      <c r="L83" s="73">
        <f t="shared" si="27"/>
        <v>0</v>
      </c>
      <c r="M83" s="73">
        <f t="shared" si="28"/>
        <v>45</v>
      </c>
      <c r="N83" s="7" t="str">
        <f>IF(O83=""," ",VLOOKUP(O83,'[8]2012 личен състав ОТД'!$A:$AO,2,FALSE))</f>
        <v xml:space="preserve">   </v>
      </c>
      <c r="O83" s="3">
        <f>IF(A83=""," ",VLOOKUP(A83,'Български и английски език'!A:O,15,FALSE))</f>
        <v>0</v>
      </c>
      <c r="P83" s="7">
        <f>IF(O83=""," ",VLOOKUP(O83,'[8]2012 личен състав ОТД'!$A:$AO,13,FALSE))</f>
        <v>0</v>
      </c>
      <c r="Q83" s="7">
        <f>IF(O83=""," ",VLOOKUP(O83,'[8]2012 личен състав ОТД'!$A:$AO,12,FALSE))</f>
        <v>0</v>
      </c>
      <c r="R83" s="7" t="str">
        <f>IF(A83=""," ",VLOOKUP(A83,'Профилиращ лист'!A:B,2,FALSE))</f>
        <v>ПЕД</v>
      </c>
      <c r="T83" s="7">
        <f t="shared" ca="1" si="29"/>
        <v>2013</v>
      </c>
    </row>
    <row r="84" spans="1:20" ht="15" hidden="1" customHeight="1" x14ac:dyDescent="0.25">
      <c r="A84" s="8" t="s">
        <v>153</v>
      </c>
      <c r="B84" s="4">
        <v>30</v>
      </c>
      <c r="C84" s="4">
        <v>30</v>
      </c>
      <c r="D84" s="4">
        <v>0</v>
      </c>
      <c r="E84" s="4">
        <v>0</v>
      </c>
      <c r="F84" s="4">
        <v>30</v>
      </c>
      <c r="G84" s="4">
        <f t="shared" si="33"/>
        <v>60</v>
      </c>
      <c r="H84" s="4">
        <f t="shared" si="32"/>
        <v>90</v>
      </c>
      <c r="I84" s="4">
        <v>3</v>
      </c>
      <c r="J84" s="4" t="s">
        <v>12</v>
      </c>
      <c r="K84" s="73">
        <f t="shared" si="26"/>
        <v>30</v>
      </c>
      <c r="L84" s="73">
        <f t="shared" si="27"/>
        <v>0</v>
      </c>
      <c r="M84" s="73">
        <f t="shared" si="28"/>
        <v>30</v>
      </c>
      <c r="N84" s="7" t="e">
        <f>IF(O84=""," ",VLOOKUP(O84,'[8]2012 личен състав ОТД'!$A:$AO,2,FALSE))</f>
        <v>#N/A</v>
      </c>
      <c r="O84" s="3" t="e">
        <f>IF(A84=""," ",VLOOKUP(A84,'Български и английски език'!A:O,15,FALSE))</f>
        <v>#N/A</v>
      </c>
      <c r="P84" s="7" t="e">
        <f>IF(O84=""," ",VLOOKUP(O84,'[8]2012 личен състав ОТД'!$A:$AO,13,FALSE))</f>
        <v>#N/A</v>
      </c>
      <c r="Q84" s="7" t="e">
        <f>IF(O84=""," ",VLOOKUP(O84,'[8]2012 личен състав ОТД'!$A:$AO,12,FALSE))</f>
        <v>#N/A</v>
      </c>
      <c r="R84" s="7" t="s">
        <v>263</v>
      </c>
      <c r="T84" s="7" t="e">
        <f t="shared" ca="1" si="29"/>
        <v>#N/A</v>
      </c>
    </row>
    <row r="85" spans="1:20" x14ac:dyDescent="0.25">
      <c r="A85" s="67" t="s">
        <v>74</v>
      </c>
      <c r="B85" s="4">
        <v>30</v>
      </c>
      <c r="C85" s="4">
        <v>45</v>
      </c>
      <c r="D85" s="4">
        <v>30</v>
      </c>
      <c r="E85" s="4">
        <v>15</v>
      </c>
      <c r="F85" s="4">
        <v>0</v>
      </c>
      <c r="G85" s="4">
        <f t="shared" si="33"/>
        <v>105</v>
      </c>
      <c r="H85" s="4">
        <f t="shared" si="32"/>
        <v>150</v>
      </c>
      <c r="I85" s="4">
        <v>5</v>
      </c>
      <c r="J85" s="4" t="s">
        <v>12</v>
      </c>
      <c r="K85" s="73">
        <f t="shared" si="26"/>
        <v>45</v>
      </c>
      <c r="L85" s="73">
        <f t="shared" si="27"/>
        <v>30</v>
      </c>
      <c r="M85" s="73">
        <f t="shared" si="28"/>
        <v>15</v>
      </c>
      <c r="N85" s="7" t="str">
        <f>IF(O85=""," ",VLOOKUP(O85,'[8]2012 личен състав ОТД'!$A:$AO,2,FALSE))</f>
        <v>доц. дфн Вера Маровска</v>
      </c>
      <c r="O85" s="3" t="str">
        <f>IF(A85=""," ",VLOOKUP(A85,'Български и английски език'!A:O,15,FALSE))</f>
        <v>маровска</v>
      </c>
      <c r="P85" s="7">
        <f>IF(O85=""," ",VLOOKUP(O85,'[8]2012 личен състав ОТД'!$A:$AO,13,FALSE))</f>
        <v>1954</v>
      </c>
      <c r="Q85" s="7" t="str">
        <f>IF(O85=""," ",VLOOKUP(O85,'[8]2012 личен състав ОТД'!$A:$AO,12,FALSE))</f>
        <v>ОТД</v>
      </c>
      <c r="R85" s="7" t="str">
        <f>IF(A85=""," ",VLOOKUP(A85,'Профилиращ лист'!A:B,2,FALSE))</f>
        <v>СПЕ</v>
      </c>
      <c r="T85" s="7">
        <f t="shared" ca="1" si="29"/>
        <v>59</v>
      </c>
    </row>
    <row r="86" spans="1:20" x14ac:dyDescent="0.25">
      <c r="A86" s="67" t="s">
        <v>154</v>
      </c>
      <c r="B86" s="4">
        <v>15</v>
      </c>
      <c r="C86" s="4">
        <v>15</v>
      </c>
      <c r="D86" s="4">
        <v>15</v>
      </c>
      <c r="E86" s="4">
        <v>0</v>
      </c>
      <c r="F86" s="4">
        <v>0</v>
      </c>
      <c r="G86" s="4">
        <f t="shared" si="33"/>
        <v>75</v>
      </c>
      <c r="H86" s="4">
        <f t="shared" si="32"/>
        <v>90</v>
      </c>
      <c r="I86" s="4">
        <v>3</v>
      </c>
      <c r="J86" s="4" t="s">
        <v>12</v>
      </c>
      <c r="K86" s="73">
        <f t="shared" si="26"/>
        <v>15</v>
      </c>
      <c r="L86" s="73">
        <f t="shared" si="27"/>
        <v>15</v>
      </c>
      <c r="M86" s="73">
        <f t="shared" si="28"/>
        <v>0</v>
      </c>
      <c r="N86" s="7" t="str">
        <f>IF(O86=""," ",VLOOKUP(O86,'[8]2012 личен състав ОТД'!$A:$AO,2,FALSE))</f>
        <v>доц. д-р Татяна Ичевска</v>
      </c>
      <c r="O86" s="3" t="s">
        <v>480</v>
      </c>
      <c r="P86" s="7">
        <f>IF(O86=""," ",VLOOKUP(O86,'[8]2012 личен състав ОТД'!$A:$AO,13,FALSE))</f>
        <v>1970</v>
      </c>
      <c r="Q86" s="7" t="str">
        <f>IF(O86=""," ",VLOOKUP(O86,'[8]2012 личен състав ОТД'!$A:$AO,12,FALSE))</f>
        <v>ОТД</v>
      </c>
      <c r="R86" s="7" t="s">
        <v>272</v>
      </c>
      <c r="T86" s="7">
        <f t="shared" ca="1" si="29"/>
        <v>43</v>
      </c>
    </row>
    <row r="87" spans="1:20" ht="15" hidden="1" customHeight="1" x14ac:dyDescent="0.25">
      <c r="A87" s="8"/>
      <c r="B87" s="9">
        <f>SUM(B80:B86)</f>
        <v>270</v>
      </c>
      <c r="C87" s="9">
        <f>SUM(C80:C86)</f>
        <v>285</v>
      </c>
      <c r="D87" s="9">
        <f t="shared" ref="D87:I87" si="34">SUM(D80:D86)</f>
        <v>90</v>
      </c>
      <c r="E87" s="9">
        <f t="shared" si="34"/>
        <v>45</v>
      </c>
      <c r="F87" s="9">
        <f t="shared" si="34"/>
        <v>150</v>
      </c>
      <c r="G87" s="9">
        <f t="shared" si="34"/>
        <v>615</v>
      </c>
      <c r="H87" s="9">
        <f t="shared" si="34"/>
        <v>900</v>
      </c>
      <c r="I87" s="9">
        <f t="shared" si="34"/>
        <v>30</v>
      </c>
      <c r="J87" s="6"/>
      <c r="K87" s="73">
        <f t="shared" si="26"/>
        <v>0</v>
      </c>
      <c r="L87" s="73">
        <f t="shared" si="27"/>
        <v>0</v>
      </c>
      <c r="M87" s="73">
        <f t="shared" si="28"/>
        <v>0</v>
      </c>
      <c r="N87" s="7" t="str">
        <f>IF(O87=""," ",VLOOKUP(O87,'[8]2012 личен състав ОТД'!$A:$AO,2,FALSE))</f>
        <v xml:space="preserve"> </v>
      </c>
      <c r="O87" s="3"/>
      <c r="P87" s="7" t="str">
        <f>IF(O87=""," ",VLOOKUP(O87,'[8]2012 личен състав ОТД'!$A:$AO,13,FALSE))</f>
        <v xml:space="preserve"> </v>
      </c>
      <c r="Q87" s="7" t="str">
        <f>IF(O87=""," ",VLOOKUP(O87,'[8]2012 личен състав ОТД'!$A:$AO,12,FALSE))</f>
        <v xml:space="preserve"> </v>
      </c>
      <c r="T87" s="7" t="e">
        <f t="shared" ca="1" si="29"/>
        <v>#VALUE!</v>
      </c>
    </row>
    <row r="88" spans="1:20" ht="14.1" hidden="1" customHeight="1" x14ac:dyDescent="0.25">
      <c r="A88" s="1" t="s">
        <v>75</v>
      </c>
      <c r="B88" s="1"/>
      <c r="J88" s="6" t="s">
        <v>12</v>
      </c>
      <c r="K88" s="73">
        <f t="shared" si="26"/>
        <v>0</v>
      </c>
      <c r="L88" s="73">
        <f t="shared" si="27"/>
        <v>0</v>
      </c>
      <c r="M88" s="73">
        <f t="shared" si="28"/>
        <v>0</v>
      </c>
      <c r="N88" s="7" t="str">
        <f>IF(O88=""," ",VLOOKUP(O88,'[8]2012 личен състав ОТД'!$A:$AO,2,FALSE))</f>
        <v xml:space="preserve"> </v>
      </c>
      <c r="O88" s="3"/>
      <c r="P88" s="7" t="str">
        <f>IF(O88=""," ",VLOOKUP(O88,'[8]2012 личен състав ОТД'!$A:$AO,13,FALSE))</f>
        <v xml:space="preserve"> </v>
      </c>
      <c r="Q88" s="7" t="str">
        <f>IF(O88=""," ",VLOOKUP(O88,'[8]2012 личен състав ОТД'!$A:$AO,12,FALSE))</f>
        <v xml:space="preserve"> </v>
      </c>
      <c r="T88" s="7" t="e">
        <f t="shared" ca="1" si="29"/>
        <v>#VALUE!</v>
      </c>
    </row>
    <row r="89" spans="1:20" ht="14.1" hidden="1" customHeight="1" x14ac:dyDescent="0.25">
      <c r="A89" s="8" t="s">
        <v>77</v>
      </c>
      <c r="I89" s="4">
        <v>2</v>
      </c>
      <c r="J89" s="6" t="s">
        <v>12</v>
      </c>
      <c r="K89" s="73">
        <f t="shared" si="26"/>
        <v>0</v>
      </c>
      <c r="L89" s="73">
        <f t="shared" si="27"/>
        <v>0</v>
      </c>
      <c r="M89" s="73">
        <f t="shared" si="28"/>
        <v>0</v>
      </c>
      <c r="N89" s="7" t="str">
        <f>IF(O89=""," ",VLOOKUP(O89,'[8]2012 личен състав ОТД'!$A:$AO,2,FALSE))</f>
        <v xml:space="preserve"> </v>
      </c>
      <c r="O89" s="3"/>
      <c r="P89" s="7" t="str">
        <f>IF(O89=""," ",VLOOKUP(O89,'[8]2012 личен състав ОТД'!$A:$AO,13,FALSE))</f>
        <v xml:space="preserve"> </v>
      </c>
      <c r="Q89" s="7" t="str">
        <f>IF(O89=""," ",VLOOKUP(O89,'[8]2012 личен състав ОТД'!$A:$AO,12,FALSE))</f>
        <v xml:space="preserve"> </v>
      </c>
      <c r="T89" s="7" t="e">
        <f t="shared" ca="1" si="29"/>
        <v>#VALUE!</v>
      </c>
    </row>
    <row r="90" spans="1:20" ht="14.1" hidden="1" customHeight="1" x14ac:dyDescent="0.25">
      <c r="A90" s="8" t="s">
        <v>155</v>
      </c>
      <c r="I90" s="4">
        <v>2</v>
      </c>
      <c r="J90" s="6" t="s">
        <v>12</v>
      </c>
      <c r="K90" s="73">
        <f t="shared" si="26"/>
        <v>0</v>
      </c>
      <c r="L90" s="73">
        <f t="shared" si="27"/>
        <v>0</v>
      </c>
      <c r="M90" s="73">
        <f t="shared" si="28"/>
        <v>0</v>
      </c>
      <c r="N90" s="7" t="str">
        <f>IF(O90=""," ",VLOOKUP(O90,'[8]2012 личен състав ОТД'!$A:$AO,2,FALSE))</f>
        <v xml:space="preserve"> </v>
      </c>
      <c r="O90" s="3"/>
      <c r="P90" s="7" t="str">
        <f>IF(O90=""," ",VLOOKUP(O90,'[8]2012 личен състав ОТД'!$A:$AO,13,FALSE))</f>
        <v xml:space="preserve"> </v>
      </c>
      <c r="Q90" s="7" t="str">
        <f>IF(O90=""," ",VLOOKUP(O90,'[8]2012 личен състав ОТД'!$A:$AO,12,FALSE))</f>
        <v xml:space="preserve"> </v>
      </c>
      <c r="T90" s="7" t="e">
        <f t="shared" ca="1" si="29"/>
        <v>#VALUE!</v>
      </c>
    </row>
    <row r="91" spans="1:20" ht="14.1" hidden="1" customHeight="1" x14ac:dyDescent="0.25">
      <c r="A91" s="8" t="s">
        <v>79</v>
      </c>
      <c r="I91" s="4">
        <v>3</v>
      </c>
      <c r="J91" s="6" t="s">
        <v>12</v>
      </c>
      <c r="K91" s="73">
        <f t="shared" si="26"/>
        <v>0</v>
      </c>
      <c r="L91" s="73">
        <f t="shared" si="27"/>
        <v>0</v>
      </c>
      <c r="M91" s="73">
        <f t="shared" si="28"/>
        <v>0</v>
      </c>
      <c r="N91" s="7" t="str">
        <f>IF(O91=""," ",VLOOKUP(O91,'[8]2012 личен състав ОТД'!$A:$AO,2,FALSE))</f>
        <v xml:space="preserve"> </v>
      </c>
      <c r="O91" s="3"/>
      <c r="P91" s="7" t="str">
        <f>IF(O91=""," ",VLOOKUP(O91,'[8]2012 личен състав ОТД'!$A:$AO,13,FALSE))</f>
        <v xml:space="preserve"> </v>
      </c>
      <c r="Q91" s="7" t="str">
        <f>IF(O91=""," ",VLOOKUP(O91,'[8]2012 личен състав ОТД'!$A:$AO,12,FALSE))</f>
        <v xml:space="preserve"> </v>
      </c>
      <c r="T91" s="7" t="e">
        <f t="shared" ca="1" si="29"/>
        <v>#VALUE!</v>
      </c>
    </row>
    <row r="92" spans="1:20" ht="14.1" hidden="1" customHeight="1" x14ac:dyDescent="0.25">
      <c r="A92" s="8" t="s">
        <v>156</v>
      </c>
      <c r="I92" s="4">
        <v>3</v>
      </c>
      <c r="J92" s="6" t="s">
        <v>12</v>
      </c>
      <c r="K92" s="73">
        <f t="shared" si="26"/>
        <v>0</v>
      </c>
      <c r="L92" s="73">
        <f t="shared" si="27"/>
        <v>0</v>
      </c>
      <c r="M92" s="73">
        <f t="shared" si="28"/>
        <v>0</v>
      </c>
      <c r="N92" s="7" t="str">
        <f>IF(O92=""," ",VLOOKUP(O92,'[8]2012 личен състав ОТД'!$A:$AO,2,FALSE))</f>
        <v xml:space="preserve"> </v>
      </c>
      <c r="O92" s="3"/>
      <c r="P92" s="7" t="str">
        <f>IF(O92=""," ",VLOOKUP(O92,'[8]2012 личен състав ОТД'!$A:$AO,13,FALSE))</f>
        <v xml:space="preserve"> </v>
      </c>
      <c r="Q92" s="7" t="str">
        <f>IF(O92=""," ",VLOOKUP(O92,'[8]2012 личен състав ОТД'!$A:$AO,12,FALSE))</f>
        <v xml:space="preserve"> </v>
      </c>
      <c r="T92" s="7" t="e">
        <f t="shared" ca="1" si="29"/>
        <v>#VALUE!</v>
      </c>
    </row>
    <row r="93" spans="1:20" ht="14.1" hidden="1" customHeight="1" x14ac:dyDescent="0.25">
      <c r="A93" s="8"/>
      <c r="I93" s="9">
        <v>10</v>
      </c>
      <c r="J93" s="6"/>
      <c r="K93" s="73">
        <f t="shared" si="26"/>
        <v>0</v>
      </c>
      <c r="L93" s="73">
        <f t="shared" si="27"/>
        <v>0</v>
      </c>
      <c r="M93" s="73">
        <f t="shared" si="28"/>
        <v>0</v>
      </c>
      <c r="N93" s="7" t="str">
        <f>IF(O93=""," ",VLOOKUP(O93,'[8]2012 личен състав ОТД'!$A:$AO,2,FALSE))</f>
        <v xml:space="preserve"> </v>
      </c>
      <c r="O93" s="3"/>
      <c r="P93" s="7" t="str">
        <f>IF(O93=""," ",VLOOKUP(O93,'[8]2012 личен състав ОТД'!$A:$AO,13,FALSE))</f>
        <v xml:space="preserve"> </v>
      </c>
      <c r="Q93" s="7" t="str">
        <f>IF(O93=""," ",VLOOKUP(O93,'[8]2012 личен състав ОТД'!$A:$AO,12,FALSE))</f>
        <v xml:space="preserve"> </v>
      </c>
      <c r="T93" s="7" t="e">
        <f t="shared" ca="1" si="29"/>
        <v>#VALUE!</v>
      </c>
    </row>
    <row r="94" spans="1:20" ht="14.1" hidden="1" customHeight="1" x14ac:dyDescent="0.25">
      <c r="A94" s="12" t="s">
        <v>80</v>
      </c>
      <c r="B94" s="9">
        <f t="shared" ref="B94:H94" si="35">B87+B78+B66+B55+B44+B33+B21+B11</f>
        <v>2640</v>
      </c>
      <c r="C94" s="9">
        <f t="shared" si="35"/>
        <v>2955</v>
      </c>
      <c r="D94" s="9">
        <f t="shared" si="35"/>
        <v>1380</v>
      </c>
      <c r="E94" s="9">
        <f t="shared" si="35"/>
        <v>525</v>
      </c>
      <c r="F94" s="9">
        <f t="shared" si="35"/>
        <v>1065</v>
      </c>
      <c r="G94" s="9">
        <f t="shared" si="35"/>
        <v>4245</v>
      </c>
      <c r="H94" s="9">
        <f t="shared" si="35"/>
        <v>7200</v>
      </c>
      <c r="I94" s="11">
        <f>I87+I78+I66+I55+I44+I33+I21+I11+I93</f>
        <v>250</v>
      </c>
      <c r="K94" s="73">
        <f t="shared" si="26"/>
        <v>2955</v>
      </c>
      <c r="L94" s="73">
        <f t="shared" si="27"/>
        <v>1380</v>
      </c>
      <c r="M94" s="73">
        <f t="shared" si="28"/>
        <v>1590</v>
      </c>
      <c r="N94" s="7" t="str">
        <f>IF(O94=""," ",VLOOKUP(O94,'[8]2012 личен състав ОТД'!$A:$AO,2,FALSE))</f>
        <v xml:space="preserve"> </v>
      </c>
      <c r="O94" s="3"/>
      <c r="P94" s="7" t="str">
        <f>IF(O94=""," ",VLOOKUP(O94,'[8]2012 личен състав ОТД'!$A:$AO,13,FALSE))</f>
        <v xml:space="preserve"> </v>
      </c>
      <c r="Q94" s="7" t="str">
        <f>IF(O94=""," ",VLOOKUP(O94,'[8]2012 личен състав ОТД'!$A:$AO,12,FALSE))</f>
        <v xml:space="preserve"> </v>
      </c>
      <c r="T94" s="7" t="e">
        <f t="shared" ca="1" si="29"/>
        <v>#VALUE!</v>
      </c>
    </row>
    <row r="95" spans="1:20" ht="15" hidden="1" customHeight="1" x14ac:dyDescent="0.25">
      <c r="A95" s="8"/>
      <c r="C95" s="4">
        <f>C94/120</f>
        <v>24.625</v>
      </c>
      <c r="D95" s="4">
        <f t="shared" ref="D95:I95" si="36">D94/120</f>
        <v>11.5</v>
      </c>
      <c r="E95" s="4">
        <f t="shared" si="36"/>
        <v>4.375</v>
      </c>
      <c r="F95" s="4">
        <f t="shared" si="36"/>
        <v>8.875</v>
      </c>
      <c r="G95" s="4">
        <f t="shared" si="36"/>
        <v>35.375</v>
      </c>
      <c r="H95" s="4">
        <f t="shared" si="36"/>
        <v>60</v>
      </c>
      <c r="I95" s="5">
        <f t="shared" si="36"/>
        <v>2.0833333333333335</v>
      </c>
      <c r="K95" s="73">
        <f t="shared" si="26"/>
        <v>0</v>
      </c>
      <c r="L95" s="73">
        <f t="shared" si="27"/>
        <v>0</v>
      </c>
      <c r="M95" s="73">
        <f t="shared" si="28"/>
        <v>0</v>
      </c>
      <c r="N95" s="7" t="str">
        <f>IF(O95=""," ",VLOOKUP(O95,'[8]2012 личен състав ОТД'!$A:$AO,2,FALSE))</f>
        <v xml:space="preserve"> </v>
      </c>
      <c r="O95" s="3"/>
      <c r="P95" s="7" t="str">
        <f>IF(O95=""," ",VLOOKUP(O95,'[8]2012 личен състав ОТД'!$A:$AO,13,FALSE))</f>
        <v xml:space="preserve"> </v>
      </c>
      <c r="Q95" s="7" t="str">
        <f>IF(O95=""," ",VLOOKUP(O95,'[8]2012 личен състав ОТД'!$A:$AO,12,FALSE))</f>
        <v xml:space="preserve"> </v>
      </c>
      <c r="R95" s="7" t="str">
        <f>IF(A95=""," ",VLOOKUP(A95,'Профилиращ лист'!A:B,2,FALSE))</f>
        <v xml:space="preserve"> </v>
      </c>
      <c r="T95" s="7" t="e">
        <f t="shared" ca="1" si="29"/>
        <v>#VALUE!</v>
      </c>
    </row>
    <row r="96" spans="1:20" ht="15" hidden="1" customHeight="1" x14ac:dyDescent="0.25">
      <c r="A96" s="8"/>
      <c r="K96" s="73">
        <f t="shared" si="26"/>
        <v>0</v>
      </c>
      <c r="L96" s="73">
        <f t="shared" si="27"/>
        <v>0</v>
      </c>
      <c r="M96" s="73">
        <f t="shared" si="28"/>
        <v>0</v>
      </c>
      <c r="N96" s="7" t="str">
        <f>IF(O96=""," ",VLOOKUP(O96,'[8]2012 личен състав ОТД'!$A:$AO,2,FALSE))</f>
        <v xml:space="preserve"> </v>
      </c>
      <c r="O96" s="3"/>
      <c r="P96" s="7" t="str">
        <f>IF(O96=""," ",VLOOKUP(O96,'[8]2012 личен състав ОТД'!$A:$AO,13,FALSE))</f>
        <v xml:space="preserve"> </v>
      </c>
      <c r="Q96" s="7" t="str">
        <f>IF(O96=""," ",VLOOKUP(O96,'[8]2012 личен състав ОТД'!$A:$AO,12,FALSE))</f>
        <v xml:space="preserve"> </v>
      </c>
      <c r="R96" s="7" t="str">
        <f>IF(A96=""," ",VLOOKUP(A96,'Профилиращ лист'!A:B,2,FALSE))</f>
        <v xml:space="preserve"> </v>
      </c>
    </row>
    <row r="97" spans="1:18" ht="15" hidden="1" customHeight="1" x14ac:dyDescent="0.25">
      <c r="A97" s="8"/>
      <c r="K97" s="73">
        <f t="shared" si="26"/>
        <v>0</v>
      </c>
      <c r="L97" s="73">
        <f t="shared" si="27"/>
        <v>0</v>
      </c>
      <c r="M97" s="73">
        <f t="shared" si="28"/>
        <v>0</v>
      </c>
      <c r="N97" s="7" t="str">
        <f>IF(O97=""," ",VLOOKUP(O97,'[8]2012 личен състав ОТД'!$A:$AO,2,FALSE))</f>
        <v xml:space="preserve"> </v>
      </c>
      <c r="O97" s="3"/>
      <c r="P97" s="7" t="str">
        <f>IF(O97=""," ",VLOOKUP(O97,'[8]2012 личен състав ОТД'!$A:$AO,13,FALSE))</f>
        <v xml:space="preserve"> </v>
      </c>
      <c r="Q97" s="7" t="str">
        <f>IF(O97=""," ",VLOOKUP(O97,'[8]2012 личен състав ОТД'!$A:$AO,12,FALSE))</f>
        <v xml:space="preserve"> </v>
      </c>
      <c r="R97" s="7" t="str">
        <f>IF(A97=""," ",VLOOKUP(A97,'Профилиращ лист'!A:B,2,FALSE))</f>
        <v xml:space="preserve"> </v>
      </c>
    </row>
    <row r="98" spans="1:18" ht="15" hidden="1" customHeight="1" x14ac:dyDescent="0.25">
      <c r="A98" s="8"/>
      <c r="K98" s="73">
        <f t="shared" si="26"/>
        <v>0</v>
      </c>
      <c r="L98" s="73">
        <f t="shared" si="27"/>
        <v>0</v>
      </c>
      <c r="M98" s="73">
        <f t="shared" si="28"/>
        <v>0</v>
      </c>
      <c r="N98" s="7" t="str">
        <f>IF(O98=""," ",VLOOKUP(O98,'[8]2012 личен състав ОТД'!$A:$AO,2,FALSE))</f>
        <v xml:space="preserve"> </v>
      </c>
      <c r="O98" s="3"/>
      <c r="P98" s="7" t="str">
        <f>IF(O98=""," ",VLOOKUP(O98,'[8]2012 личен състав ОТД'!$A:$AO,13,FALSE))</f>
        <v xml:space="preserve"> </v>
      </c>
      <c r="Q98" s="7" t="str">
        <f>IF(O98=""," ",VLOOKUP(O98,'[8]2012 личен състав ОТД'!$A:$AO,12,FALSE))</f>
        <v xml:space="preserve"> </v>
      </c>
      <c r="R98" s="7" t="str">
        <f>IF(A98=""," ",VLOOKUP(A98,'Профилиращ лист'!A:B,2,FALSE))</f>
        <v xml:space="preserve"> </v>
      </c>
    </row>
    <row r="99" spans="1:18" ht="15" hidden="1" customHeight="1" x14ac:dyDescent="0.25">
      <c r="A99" s="8"/>
      <c r="K99" s="73">
        <f t="shared" ref="K99:K108" si="37">SUMIF(A:A,A99,C:C)</f>
        <v>0</v>
      </c>
      <c r="L99" s="73">
        <f t="shared" ref="L99:L108" si="38">SUMIF(A:A,A99,D:D)</f>
        <v>0</v>
      </c>
      <c r="M99" s="73">
        <f t="shared" ref="M99:M108" si="39">SUMIF(A:A,A99,E:E)+SUMIF(A:A,A99,F:F)</f>
        <v>0</v>
      </c>
      <c r="N99" s="7" t="str">
        <f>IF(O99=""," ",VLOOKUP(O99,'[8]2012 личен състав ОТД'!$A:$AO,2,FALSE))</f>
        <v xml:space="preserve"> </v>
      </c>
      <c r="O99" s="3"/>
      <c r="P99" s="7" t="str">
        <f>IF(O99=""," ",VLOOKUP(O99,'[8]2012 личен състав ОТД'!$A:$AO,13,FALSE))</f>
        <v xml:space="preserve"> </v>
      </c>
      <c r="Q99" s="7" t="str">
        <f>IF(O99=""," ",VLOOKUP(O99,'[8]2012 личен състав ОТД'!$A:$AO,12,FALSE))</f>
        <v xml:space="preserve"> </v>
      </c>
      <c r="R99" s="7" t="str">
        <f>IF(A99=""," ",VLOOKUP(A99,'Профилиращ лист'!A:B,2,FALSE))</f>
        <v xml:space="preserve"> </v>
      </c>
    </row>
    <row r="100" spans="1:18" ht="15" hidden="1" customHeight="1" x14ac:dyDescent="0.25">
      <c r="A100" s="8"/>
      <c r="K100" s="73">
        <f t="shared" si="37"/>
        <v>0</v>
      </c>
      <c r="L100" s="73">
        <f t="shared" si="38"/>
        <v>0</v>
      </c>
      <c r="M100" s="73">
        <f t="shared" si="39"/>
        <v>0</v>
      </c>
      <c r="N100" s="7" t="str">
        <f>IF(O100=""," ",VLOOKUP(O100,'[8]2012 личен състав ОТД'!$A:$AO,2,FALSE))</f>
        <v xml:space="preserve"> </v>
      </c>
      <c r="O100" s="3"/>
      <c r="P100" s="7" t="str">
        <f>IF(O100=""," ",VLOOKUP(O100,'[8]2012 личен състав ОТД'!$A:$AO,13,FALSE))</f>
        <v xml:space="preserve"> </v>
      </c>
      <c r="Q100" s="7" t="str">
        <f>IF(O100=""," ",VLOOKUP(O100,'[8]2012 личен състав ОТД'!$A:$AO,12,FALSE))</f>
        <v xml:space="preserve"> </v>
      </c>
      <c r="R100" s="7" t="str">
        <f>IF(A100=""," ",VLOOKUP(A100,'Профилиращ лист'!A:B,2,FALSE))</f>
        <v xml:space="preserve"> </v>
      </c>
    </row>
    <row r="101" spans="1:18" ht="15" hidden="1" customHeight="1" x14ac:dyDescent="0.25">
      <c r="A101" s="8"/>
      <c r="K101" s="73">
        <f t="shared" si="37"/>
        <v>0</v>
      </c>
      <c r="L101" s="73">
        <f t="shared" si="38"/>
        <v>0</v>
      </c>
      <c r="M101" s="73">
        <f t="shared" si="39"/>
        <v>0</v>
      </c>
      <c r="N101" s="7" t="str">
        <f>IF(O101=""," ",VLOOKUP(O101,'[8]2012 личен състав ОТД'!$A:$AO,2,FALSE))</f>
        <v xml:space="preserve"> </v>
      </c>
      <c r="O101" s="3"/>
      <c r="P101" s="7" t="str">
        <f>IF(O101=""," ",VLOOKUP(O101,'[8]2012 личен състав ОТД'!$A:$AO,13,FALSE))</f>
        <v xml:space="preserve"> </v>
      </c>
      <c r="Q101" s="7" t="str">
        <f>IF(O101=""," ",VLOOKUP(O101,'[8]2012 личен състав ОТД'!$A:$AO,12,FALSE))</f>
        <v xml:space="preserve"> </v>
      </c>
      <c r="R101" s="7" t="str">
        <f>IF(A101=""," ",VLOOKUP(A101,'Профилиращ лист'!A:B,2,FALSE))</f>
        <v xml:space="preserve"> </v>
      </c>
    </row>
    <row r="102" spans="1:18" ht="15" hidden="1" customHeight="1" x14ac:dyDescent="0.25">
      <c r="A102" s="8"/>
      <c r="K102" s="73">
        <f t="shared" si="37"/>
        <v>0</v>
      </c>
      <c r="L102" s="73">
        <f t="shared" si="38"/>
        <v>0</v>
      </c>
      <c r="M102" s="73">
        <f t="shared" si="39"/>
        <v>0</v>
      </c>
      <c r="N102" s="7" t="str">
        <f>IF(O102=""," ",VLOOKUP(O102,'[8]2012 личен състав ОТД'!$A:$AO,2,FALSE))</f>
        <v xml:space="preserve"> </v>
      </c>
      <c r="O102" s="3"/>
      <c r="P102" s="7" t="str">
        <f>IF(O102=""," ",VLOOKUP(O102,'[8]2012 личен състав ОТД'!$A:$AO,13,FALSE))</f>
        <v xml:space="preserve"> </v>
      </c>
      <c r="Q102" s="7" t="str">
        <f>IF(O102=""," ",VLOOKUP(O102,'[8]2012 личен състав ОТД'!$A:$AO,12,FALSE))</f>
        <v xml:space="preserve"> </v>
      </c>
      <c r="R102" s="7" t="str">
        <f>IF(A102=""," ",VLOOKUP(A102,'Профилиращ лист'!A:B,2,FALSE))</f>
        <v xml:space="preserve"> </v>
      </c>
    </row>
    <row r="103" spans="1:18" ht="15" hidden="1" customHeight="1" x14ac:dyDescent="0.25">
      <c r="A103" s="8"/>
      <c r="K103" s="73">
        <f t="shared" si="37"/>
        <v>0</v>
      </c>
      <c r="L103" s="73">
        <f t="shared" si="38"/>
        <v>0</v>
      </c>
      <c r="M103" s="73">
        <f t="shared" si="39"/>
        <v>0</v>
      </c>
      <c r="N103" s="7" t="str">
        <f>IF(O103=""," ",VLOOKUP(O103,'[8]2012 личен състав ОТД'!$A:$AO,2,FALSE))</f>
        <v xml:space="preserve"> </v>
      </c>
      <c r="O103" s="3"/>
      <c r="P103" s="7" t="str">
        <f>IF(O103=""," ",VLOOKUP(O103,'[8]2012 личен състав ОТД'!$A:$AO,13,FALSE))</f>
        <v xml:space="preserve"> </v>
      </c>
      <c r="Q103" s="7" t="str">
        <f>IF(O103=""," ",VLOOKUP(O103,'[8]2012 личен състав ОТД'!$A:$AO,12,FALSE))</f>
        <v xml:space="preserve"> </v>
      </c>
      <c r="R103" s="7" t="str">
        <f>IF(A103=""," ",VLOOKUP(A103,'Профилиращ лист'!A:B,2,FALSE))</f>
        <v xml:space="preserve"> </v>
      </c>
    </row>
    <row r="104" spans="1:18" ht="15" hidden="1" customHeight="1" x14ac:dyDescent="0.25">
      <c r="A104" s="8"/>
      <c r="K104" s="73">
        <f t="shared" si="37"/>
        <v>0</v>
      </c>
      <c r="L104" s="73">
        <f t="shared" si="38"/>
        <v>0</v>
      </c>
      <c r="M104" s="73">
        <f t="shared" si="39"/>
        <v>0</v>
      </c>
      <c r="N104" s="7" t="str">
        <f>IF(O104=""," ",VLOOKUP(O104,'[8]2012 личен състав ОТД'!$A:$AO,2,FALSE))</f>
        <v xml:space="preserve"> </v>
      </c>
      <c r="O104" s="3"/>
      <c r="P104" s="7" t="str">
        <f>IF(O104=""," ",VLOOKUP(O104,'[8]2012 личен състав ОТД'!$A:$AO,13,FALSE))</f>
        <v xml:space="preserve"> </v>
      </c>
      <c r="Q104" s="7" t="str">
        <f>IF(O104=""," ",VLOOKUP(O104,'[8]2012 личен състав ОТД'!$A:$AO,12,FALSE))</f>
        <v xml:space="preserve"> </v>
      </c>
      <c r="R104" s="7" t="str">
        <f>IF(A104=""," ",VLOOKUP(A104,'Профилиращ лист'!A:B,2,FALSE))</f>
        <v xml:space="preserve"> </v>
      </c>
    </row>
    <row r="105" spans="1:18" ht="15" hidden="1" customHeight="1" x14ac:dyDescent="0.25">
      <c r="A105" s="8"/>
      <c r="K105" s="73">
        <f t="shared" si="37"/>
        <v>0</v>
      </c>
      <c r="L105" s="73">
        <f t="shared" si="38"/>
        <v>0</v>
      </c>
      <c r="M105" s="73">
        <f t="shared" si="39"/>
        <v>0</v>
      </c>
      <c r="N105" s="7" t="str">
        <f>IF(O105=""," ",VLOOKUP(O105,'[8]2012 личен състав ОТД'!$A:$AO,2,FALSE))</f>
        <v xml:space="preserve"> </v>
      </c>
      <c r="O105" s="3"/>
      <c r="P105" s="7" t="str">
        <f>IF(O105=""," ",VLOOKUP(O105,'[8]2012 личен състав ОТД'!$A:$AO,13,FALSE))</f>
        <v xml:space="preserve"> </v>
      </c>
      <c r="Q105" s="7" t="str">
        <f>IF(O105=""," ",VLOOKUP(O105,'[8]2012 личен състав ОТД'!$A:$AO,12,FALSE))</f>
        <v xml:space="preserve"> </v>
      </c>
      <c r="R105" s="7" t="str">
        <f>IF(A105=""," ",VLOOKUP(A105,'Профилиращ лист'!A:B,2,FALSE))</f>
        <v xml:space="preserve"> </v>
      </c>
    </row>
    <row r="106" spans="1:18" ht="15" hidden="1" customHeight="1" x14ac:dyDescent="0.25">
      <c r="A106" s="8"/>
      <c r="K106" s="73">
        <f t="shared" si="37"/>
        <v>0</v>
      </c>
      <c r="L106" s="73">
        <f t="shared" si="38"/>
        <v>0</v>
      </c>
      <c r="M106" s="73">
        <f t="shared" si="39"/>
        <v>0</v>
      </c>
      <c r="N106" s="7" t="str">
        <f>IF(O106=""," ",VLOOKUP(O106,'[8]2012 личен състав ОТД'!$A:$AO,2,FALSE))</f>
        <v xml:space="preserve"> </v>
      </c>
      <c r="O106" s="3"/>
      <c r="P106" s="7" t="str">
        <f>IF(O106=""," ",VLOOKUP(O106,'[8]2012 личен състав ОТД'!$A:$AO,13,FALSE))</f>
        <v xml:space="preserve"> </v>
      </c>
      <c r="Q106" s="7" t="str">
        <f>IF(O106=""," ",VLOOKUP(O106,'[8]2012 личен състав ОТД'!$A:$AO,12,FALSE))</f>
        <v xml:space="preserve"> </v>
      </c>
      <c r="R106" s="7" t="str">
        <f>IF(A106=""," ",VLOOKUP(A106,'Профилиращ лист'!A:B,2,FALSE))</f>
        <v xml:space="preserve"> </v>
      </c>
    </row>
    <row r="107" spans="1:18" ht="15" hidden="1" customHeight="1" x14ac:dyDescent="0.25">
      <c r="A107" s="8"/>
      <c r="K107" s="73">
        <f t="shared" si="37"/>
        <v>0</v>
      </c>
      <c r="L107" s="73">
        <f t="shared" si="38"/>
        <v>0</v>
      </c>
      <c r="M107" s="73">
        <f t="shared" si="39"/>
        <v>0</v>
      </c>
      <c r="N107" s="7" t="str">
        <f>IF(O107=""," ",VLOOKUP(O107,'[8]2012 личен състав ОТД'!$A:$AO,2,FALSE))</f>
        <v xml:space="preserve"> </v>
      </c>
      <c r="O107" s="3"/>
      <c r="P107" s="7" t="str">
        <f>IF(O107=""," ",VLOOKUP(O107,'[8]2012 личен състав ОТД'!$A:$AO,13,FALSE))</f>
        <v xml:space="preserve"> </v>
      </c>
      <c r="Q107" s="7" t="str">
        <f>IF(O107=""," ",VLOOKUP(O107,'[8]2012 личен състав ОТД'!$A:$AO,12,FALSE))</f>
        <v xml:space="preserve"> </v>
      </c>
      <c r="R107" s="7" t="str">
        <f>IF(A107=""," ",VLOOKUP(A107,'Профилиращ лист'!A:B,2,FALSE))</f>
        <v xml:space="preserve"> </v>
      </c>
    </row>
    <row r="108" spans="1:18" ht="15" hidden="1" customHeight="1" x14ac:dyDescent="0.25">
      <c r="A108" s="8"/>
      <c r="K108" s="73">
        <f t="shared" si="37"/>
        <v>0</v>
      </c>
      <c r="L108" s="73">
        <f t="shared" si="38"/>
        <v>0</v>
      </c>
      <c r="M108" s="73">
        <f t="shared" si="39"/>
        <v>0</v>
      </c>
      <c r="N108" s="7" t="str">
        <f>IF(O108=""," ",VLOOKUP(O108,'[8]2012 личен състав ОТД'!$A:$AO,2,FALSE))</f>
        <v xml:space="preserve"> </v>
      </c>
      <c r="O108" s="3"/>
      <c r="P108" s="7" t="str">
        <f>IF(O108=""," ",VLOOKUP(O108,'[8]2012 личен състав ОТД'!$A:$AO,13,FALSE))</f>
        <v xml:space="preserve"> </v>
      </c>
      <c r="Q108" s="7" t="str">
        <f>IF(O108=""," ",VLOOKUP(O108,'[8]2012 личен състав ОТД'!$A:$AO,12,FALSE))</f>
        <v xml:space="preserve"> </v>
      </c>
      <c r="R108" s="7" t="str">
        <f>IF(A108=""," ",VLOOKUP(A108,'Профилиращ лист'!A:B,2,FALSE))</f>
        <v xml:space="preserve"> </v>
      </c>
    </row>
    <row r="109" spans="1:18" ht="15" hidden="1" customHeight="1" x14ac:dyDescent="0.25">
      <c r="A109" s="8"/>
    </row>
  </sheetData>
  <autoFilter ref="A1:R109">
    <filterColumn colId="9">
      <filters>
        <filter val="1"/>
        <filter val="изпит"/>
        <filter val="т.о."/>
      </filters>
    </filterColumn>
    <filterColumn colId="11">
      <filters>
        <filter val="1"/>
        <filter val="15"/>
        <filter val="30"/>
        <filter val="45"/>
        <filter val="60"/>
        <filter val="75"/>
      </filters>
    </filterColumn>
  </autoFilter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2" fitToHeight="2" orientation="portrait" r:id="rId1"/>
  <headerFooter alignWithMargins="0">
    <oddHeader>&amp;LРедовно обучение,
бакалавърска степен&amp;C&amp;14УЧЕБЕН ПЛАН: &amp;A</oddHeader>
  </headerFooter>
  <legacy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G109"/>
  <sheetViews>
    <sheetView zoomScale="70" zoomScaleNormal="70" zoomScaleSheetLayoutView="140" workbookViewId="0">
      <pane xSplit="2" ySplit="1" topLeftCell="C2" activePane="bottomRight" state="frozen"/>
      <selection activeCell="T1" sqref="T1:T97"/>
      <selection pane="topRight" activeCell="T1" sqref="T1:T97"/>
      <selection pane="bottomLeft" activeCell="T1" sqref="T1:T97"/>
      <selection pane="bottomRight" activeCell="T1" sqref="T1:T97"/>
    </sheetView>
  </sheetViews>
  <sheetFormatPr defaultRowHeight="15" x14ac:dyDescent="0.25"/>
  <cols>
    <col min="1" max="1" width="59" style="8" customWidth="1"/>
    <col min="2" max="2" width="3.7109375" style="8" hidden="1" customWidth="1"/>
    <col min="3" max="8" width="4.7109375" style="4" hidden="1" customWidth="1"/>
    <col min="9" max="9" width="3.7109375" style="5" hidden="1" customWidth="1"/>
    <col min="10" max="10" width="6.85546875" style="10" hidden="1" customWidth="1"/>
    <col min="11" max="13" width="5.85546875" style="73" hidden="1" customWidth="1"/>
    <col min="14" max="14" width="28.42578125" style="7" hidden="1" customWidth="1"/>
    <col min="15" max="15" width="13.28515625" style="7" hidden="1" customWidth="1"/>
    <col min="16" max="17" width="10.7109375" style="7" hidden="1" customWidth="1"/>
    <col min="18" max="18" width="7.5703125" style="7" customWidth="1"/>
    <col min="19" max="20" width="14" style="7" customWidth="1"/>
    <col min="21" max="21" width="11.85546875" style="7" customWidth="1"/>
    <col min="22" max="16384" width="9.140625" style="7"/>
  </cols>
  <sheetData>
    <row r="1" spans="1:31" s="3" customFormat="1" x14ac:dyDescent="0.25">
      <c r="A1" s="1" t="s">
        <v>81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" t="s">
        <v>578</v>
      </c>
      <c r="T1" s="1" t="s">
        <v>629</v>
      </c>
      <c r="U1" s="111" t="s">
        <v>577</v>
      </c>
      <c r="V1" s="3" t="s">
        <v>255</v>
      </c>
      <c r="W1" s="3" t="s">
        <v>265</v>
      </c>
      <c r="X1" s="3" t="s">
        <v>253</v>
      </c>
      <c r="Y1" s="3" t="s">
        <v>263</v>
      </c>
      <c r="Z1" s="3" t="s">
        <v>272</v>
      </c>
      <c r="AA1" s="3" t="s">
        <v>406</v>
      </c>
      <c r="AB1" s="3" t="s">
        <v>573</v>
      </c>
      <c r="AC1" s="3" t="s">
        <v>607</v>
      </c>
      <c r="AD1" s="7" t="s">
        <v>575</v>
      </c>
      <c r="AE1" s="7" t="s">
        <v>576</v>
      </c>
    </row>
    <row r="2" spans="1:31" x14ac:dyDescent="0.25">
      <c r="A2" s="1" t="s">
        <v>10</v>
      </c>
      <c r="B2" s="1"/>
      <c r="I2" s="13"/>
      <c r="J2" s="6">
        <v>1</v>
      </c>
      <c r="L2" s="73">
        <v>1</v>
      </c>
      <c r="O2" s="3">
        <f ca="1">YEAR(TODAY())</f>
        <v>2013</v>
      </c>
      <c r="P2" s="3">
        <f ca="1">O2-(AVERAGEIFS(P:P,L:L,"&gt;0",Q:Q,"ОТД"))</f>
        <v>52.689655172413723</v>
      </c>
      <c r="T2" s="7">
        <f ca="1">YEAR(TODAY())</f>
        <v>2013</v>
      </c>
      <c r="V2" s="7">
        <f ca="1">COUNTIFS(P:P,"&gt;1900",R:R,"СПЕ")</f>
        <v>12</v>
      </c>
      <c r="W2" s="7">
        <f ca="1">COUNTIFS(P:P,"&gt;1900",R:R,"ОФД")</f>
        <v>10</v>
      </c>
      <c r="X2" s="7">
        <f ca="1">COUNTIFS(P:P,"&gt;1900",R:R,"ПЕД")</f>
        <v>4</v>
      </c>
      <c r="Y2" s="7">
        <f>COUNTIF(R:R,"ПРА")</f>
        <v>0</v>
      </c>
      <c r="Z2" s="7">
        <f>COUNTIF(R:R,"ИЗБ")</f>
        <v>4</v>
      </c>
      <c r="AA2" s="7">
        <f>COUNTIF(R:R,"ФД")</f>
        <v>4</v>
      </c>
      <c r="AB2" s="7">
        <f ca="1">SUBTOTAL(9,V2:AA2)</f>
        <v>34</v>
      </c>
      <c r="AC2" s="7">
        <f ca="1">V2/AB2</f>
        <v>0.35294117647058826</v>
      </c>
      <c r="AD2" s="7">
        <f>(COUNTIFS(N:N,"проф.*",Q:Q,"ОТД")+COUNTIFS(N:N,"доц.*",Q:Q,"ОТД"))/COUNTIF(Q:Q,"ОТД")</f>
        <v>0.93103448275862066</v>
      </c>
      <c r="AE2" s="7">
        <f ca="1">COUNTIF(S:S,"У")/V2</f>
        <v>0</v>
      </c>
    </row>
    <row r="3" spans="1:31" x14ac:dyDescent="0.25">
      <c r="A3" s="8" t="s">
        <v>11</v>
      </c>
      <c r="B3" s="4">
        <v>30</v>
      </c>
      <c r="C3" s="4">
        <v>30</v>
      </c>
      <c r="D3" s="4">
        <v>30</v>
      </c>
      <c r="E3" s="4">
        <v>0</v>
      </c>
      <c r="F3" s="4">
        <v>0</v>
      </c>
      <c r="G3" s="4">
        <f>H3-C3</f>
        <v>60</v>
      </c>
      <c r="H3" s="4">
        <f t="shared" ref="H3:H8" si="0">I3*30</f>
        <v>90</v>
      </c>
      <c r="I3" s="4">
        <v>3</v>
      </c>
      <c r="J3" s="4" t="s">
        <v>12</v>
      </c>
      <c r="K3" s="73">
        <f>SUMIF(A:A,A3,C:C)</f>
        <v>30</v>
      </c>
      <c r="L3" s="73">
        <f>SUMIF(A:A,A3,D:D)</f>
        <v>30</v>
      </c>
      <c r="M3" s="73">
        <f>SUMIF(A:A,A3,E:E)+SUMIF(A:A,A3,F:F)</f>
        <v>0</v>
      </c>
      <c r="N3" s="7" t="str">
        <f>IF(O3=""," ",VLOOKUP(O3,'[8]2012 личен състав ОТД'!$A:$AO,2,FALSE))</f>
        <v>доц. д-р Красимира Кръстанова</v>
      </c>
      <c r="O3" s="3" t="str">
        <f>IF(A3=""," ",VLOOKUP(A3,'Български и испански език'!A:O,15,FALSE))</f>
        <v>кръстанова</v>
      </c>
      <c r="P3" s="7">
        <f>IF(O3=""," ",VLOOKUP(O3,'[8]2012 личен състав ОТД'!$A:$AO,13,FALSE))</f>
        <v>1958</v>
      </c>
      <c r="Q3" s="7" t="str">
        <f>IF(O3=""," ",VLOOKUP(O3,'[8]2012 личен състав ОТД'!$A:$AO,12,FALSE))</f>
        <v>ОТД</v>
      </c>
      <c r="R3" s="7" t="str">
        <f>IF(A3=""," ",VLOOKUP(A3,'Профилиращ лист'!A:B,2,FALSE))</f>
        <v>СПЕ</v>
      </c>
      <c r="T3" s="7">
        <f t="shared" ref="T3:T34" ca="1" si="1">Години-P3</f>
        <v>55</v>
      </c>
    </row>
    <row r="4" spans="1:31" x14ac:dyDescent="0.25">
      <c r="A4" s="8" t="s">
        <v>13</v>
      </c>
      <c r="B4" s="4">
        <v>45</v>
      </c>
      <c r="C4" s="4">
        <v>45</v>
      </c>
      <c r="D4" s="4">
        <v>15</v>
      </c>
      <c r="E4" s="4">
        <v>30</v>
      </c>
      <c r="F4" s="4">
        <v>0</v>
      </c>
      <c r="G4" s="4">
        <f t="shared" ref="G4:G8" si="2">H4-C4</f>
        <v>75</v>
      </c>
      <c r="H4" s="4">
        <f t="shared" si="0"/>
        <v>120</v>
      </c>
      <c r="I4" s="4">
        <v>4</v>
      </c>
      <c r="J4" s="4" t="s">
        <v>14</v>
      </c>
      <c r="K4" s="73">
        <f t="shared" ref="K4:K8" si="3">SUMIF(A:A,A4,C:C)</f>
        <v>90</v>
      </c>
      <c r="L4" s="73">
        <f t="shared" ref="L4:L8" si="4">SUMIF(A:A,A4,D:D)</f>
        <v>30</v>
      </c>
      <c r="M4" s="73">
        <f t="shared" ref="M4:M8" si="5">SUMIF(A:A,A4,E:E)+SUMIF(A:A,A4,F:F)</f>
        <v>60</v>
      </c>
      <c r="N4" s="7" t="str">
        <f>IF(O4=""," ",VLOOKUP(O4,'[8]2012 личен състав ОТД'!$A:$AO,2,FALSE))</f>
        <v xml:space="preserve">   </v>
      </c>
      <c r="O4" s="3">
        <f>IF(A4=""," ",VLOOKUP(A4,'Български и испански език'!A:O,15,FALSE))</f>
        <v>0</v>
      </c>
      <c r="P4" s="7">
        <f>IF(O4=""," ",VLOOKUP(O4,'[8]2012 личен състав ОТД'!$A:$AO,13,FALSE))</f>
        <v>0</v>
      </c>
      <c r="Q4" s="7">
        <f>IF(O4=""," ",VLOOKUP(O4,'[8]2012 личен състав ОТД'!$A:$AO,12,FALSE))</f>
        <v>0</v>
      </c>
      <c r="R4" s="7" t="str">
        <f>IF(A4=""," ",VLOOKUP(A4,'Профилиращ лист'!A:B,2,FALSE))</f>
        <v>ОФД</v>
      </c>
      <c r="T4" s="7">
        <f t="shared" ca="1" si="1"/>
        <v>2013</v>
      </c>
      <c r="V4" s="7">
        <f>COUNTIF(N:N,"проф.*")</f>
        <v>10</v>
      </c>
      <c r="W4" s="7">
        <f>COUNTIF(N:N,"доц.*")</f>
        <v>29</v>
      </c>
      <c r="X4" s="7">
        <f>COUNTIF(N:N,"*ас. д-р*")</f>
        <v>2</v>
      </c>
      <c r="Y4" s="7">
        <f>COUNTIF(N:N,"гл. ас.*")-X4</f>
        <v>0</v>
      </c>
      <c r="Z4" s="7">
        <f>COUNTIF(N:N,"ас.*")</f>
        <v>0</v>
      </c>
      <c r="AA4" s="7">
        <f>SUM(V4:Z4)</f>
        <v>41</v>
      </c>
    </row>
    <row r="5" spans="1:31" x14ac:dyDescent="0.25">
      <c r="A5" s="8" t="s">
        <v>184</v>
      </c>
      <c r="B5" s="4">
        <v>90</v>
      </c>
      <c r="C5" s="4">
        <v>90</v>
      </c>
      <c r="D5" s="4">
        <v>0</v>
      </c>
      <c r="E5" s="4">
        <v>0</v>
      </c>
      <c r="F5" s="4">
        <v>90</v>
      </c>
      <c r="G5" s="4">
        <f t="shared" si="2"/>
        <v>150</v>
      </c>
      <c r="H5" s="4">
        <f t="shared" si="0"/>
        <v>240</v>
      </c>
      <c r="I5" s="4">
        <v>8</v>
      </c>
      <c r="J5" s="4" t="s">
        <v>14</v>
      </c>
      <c r="K5" s="73">
        <f t="shared" si="3"/>
        <v>90</v>
      </c>
      <c r="L5" s="73">
        <f t="shared" si="4"/>
        <v>0</v>
      </c>
      <c r="M5" s="73">
        <f t="shared" si="5"/>
        <v>90</v>
      </c>
      <c r="N5" s="7" t="e">
        <f>IF(O5=""," ",VLOOKUP(O5,'[8]2012 личен състав ОТД'!$A:$AO,2,FALSE))</f>
        <v>#N/A</v>
      </c>
      <c r="O5" s="3" t="e">
        <f>IF(A5=""," ",VLOOKUP(A5,'Български и испански език'!A:O,15,FALSE))</f>
        <v>#N/A</v>
      </c>
      <c r="P5" s="7" t="e">
        <f>IF(O5=""," ",VLOOKUP(O5,'[8]2012 личен състав ОТД'!$A:$AO,13,FALSE))</f>
        <v>#N/A</v>
      </c>
      <c r="Q5" s="7" t="e">
        <f>IF(O5=""," ",VLOOKUP(O5,'[8]2012 личен състав ОТД'!$A:$AO,12,FALSE))</f>
        <v>#N/A</v>
      </c>
      <c r="R5" s="7" t="e">
        <f>IF(A5=""," ",VLOOKUP(A5,'Профилиращ лист'!A:B,2,FALSE))</f>
        <v>#N/A</v>
      </c>
      <c r="T5" s="7" t="e">
        <f t="shared" ca="1" si="1"/>
        <v>#N/A</v>
      </c>
    </row>
    <row r="6" spans="1:31" x14ac:dyDescent="0.25">
      <c r="A6" s="8" t="s">
        <v>17</v>
      </c>
      <c r="B6" s="4">
        <v>15</v>
      </c>
      <c r="C6" s="4">
        <v>30</v>
      </c>
      <c r="D6" s="4">
        <v>0</v>
      </c>
      <c r="E6" s="4">
        <v>30</v>
      </c>
      <c r="F6" s="4">
        <v>0</v>
      </c>
      <c r="G6" s="4">
        <f t="shared" si="2"/>
        <v>60</v>
      </c>
      <c r="H6" s="4">
        <f t="shared" si="0"/>
        <v>90</v>
      </c>
      <c r="I6" s="4">
        <v>3</v>
      </c>
      <c r="J6" s="4" t="s">
        <v>18</v>
      </c>
      <c r="K6" s="73">
        <f t="shared" si="3"/>
        <v>30</v>
      </c>
      <c r="L6" s="73">
        <f t="shared" si="4"/>
        <v>0</v>
      </c>
      <c r="M6" s="73">
        <f t="shared" si="5"/>
        <v>30</v>
      </c>
      <c r="N6" s="7" t="e">
        <f>IF(O6=""," ",VLOOKUP(O6,'[8]2012 личен състав ОТД'!$A:$AO,2,FALSE))</f>
        <v>#N/A</v>
      </c>
      <c r="O6" s="3" t="e">
        <f>IF(A6=""," ",VLOOKUP(A6,'Български и испански език'!A:O,15,FALSE))</f>
        <v>#N/A</v>
      </c>
      <c r="P6" s="7" t="e">
        <f>IF(O6=""," ",VLOOKUP(O6,'[8]2012 личен състав ОТД'!$A:$AO,13,FALSE))</f>
        <v>#N/A</v>
      </c>
      <c r="Q6" s="7" t="e">
        <f>IF(O6=""," ",VLOOKUP(O6,'[8]2012 личен състав ОТД'!$A:$AO,12,FALSE))</f>
        <v>#N/A</v>
      </c>
      <c r="R6" s="7" t="str">
        <f>IF(A6=""," ",VLOOKUP(A6,'Профилиращ лист'!A:B,2,FALSE))</f>
        <v>ИЗБ</v>
      </c>
      <c r="T6" s="7" t="e">
        <f t="shared" ca="1" si="1"/>
        <v>#N/A</v>
      </c>
    </row>
    <row r="7" spans="1:31" x14ac:dyDescent="0.25">
      <c r="A7" s="8" t="s">
        <v>21</v>
      </c>
      <c r="B7" s="4">
        <v>15</v>
      </c>
      <c r="C7" s="4">
        <v>30</v>
      </c>
      <c r="D7" s="4">
        <v>0</v>
      </c>
      <c r="E7" s="4">
        <v>0</v>
      </c>
      <c r="F7" s="4">
        <v>30</v>
      </c>
      <c r="G7" s="4">
        <f t="shared" si="2"/>
        <v>30</v>
      </c>
      <c r="H7" s="4">
        <f t="shared" si="0"/>
        <v>60</v>
      </c>
      <c r="I7" s="4">
        <v>2</v>
      </c>
      <c r="J7" s="4" t="s">
        <v>18</v>
      </c>
      <c r="K7" s="73">
        <f t="shared" si="3"/>
        <v>30</v>
      </c>
      <c r="L7" s="73">
        <f t="shared" si="4"/>
        <v>0</v>
      </c>
      <c r="M7" s="73">
        <f t="shared" si="5"/>
        <v>30</v>
      </c>
      <c r="N7" s="7" t="str">
        <f>IF(O7=""," ",VLOOKUP(O7,'[8]2012 личен състав ОТД'!$A:$AO,2,FALSE))</f>
        <v xml:space="preserve">   </v>
      </c>
      <c r="O7" s="3">
        <f>IF(A7=""," ",VLOOKUP(A7,'Български и испански език'!A:O,15,FALSE))</f>
        <v>0</v>
      </c>
      <c r="P7" s="7">
        <f>IF(O7=""," ",VLOOKUP(O7,'[8]2012 личен състав ОТД'!$A:$AO,13,FALSE))</f>
        <v>0</v>
      </c>
      <c r="Q7" s="7">
        <f>IF(O7=""," ",VLOOKUP(O7,'[8]2012 личен състав ОТД'!$A:$AO,12,FALSE))</f>
        <v>0</v>
      </c>
      <c r="R7" s="7" t="str">
        <f>IF(A7=""," ",VLOOKUP(A7,'Профилиращ лист'!A:B,2,FALSE))</f>
        <v>ФД</v>
      </c>
      <c r="T7" s="7">
        <f t="shared" ca="1" si="1"/>
        <v>2013</v>
      </c>
    </row>
    <row r="8" spans="1:31" x14ac:dyDescent="0.25">
      <c r="A8" s="8" t="s">
        <v>28</v>
      </c>
      <c r="B8" s="4">
        <v>15</v>
      </c>
      <c r="C8" s="4">
        <v>15</v>
      </c>
      <c r="D8" s="4">
        <v>0</v>
      </c>
      <c r="E8" s="4">
        <v>0</v>
      </c>
      <c r="F8" s="4">
        <v>15</v>
      </c>
      <c r="G8" s="4">
        <f t="shared" si="2"/>
        <v>45</v>
      </c>
      <c r="H8" s="4">
        <f t="shared" si="0"/>
        <v>60</v>
      </c>
      <c r="I8" s="4">
        <v>2</v>
      </c>
      <c r="J8" s="4" t="s">
        <v>18</v>
      </c>
      <c r="K8" s="73">
        <f t="shared" si="3"/>
        <v>15</v>
      </c>
      <c r="L8" s="73">
        <f t="shared" si="4"/>
        <v>0</v>
      </c>
      <c r="M8" s="73">
        <f t="shared" si="5"/>
        <v>15</v>
      </c>
      <c r="N8" s="7" t="str">
        <f>IF(O8=""," ",VLOOKUP(O8,'[8]2012 личен състав ОТД'!$A:$AO,2,FALSE))</f>
        <v xml:space="preserve">   </v>
      </c>
      <c r="O8" s="3">
        <f>IF(A8=""," ",VLOOKUP(A8,'Български и испански език'!A:O,15,FALSE))</f>
        <v>0</v>
      </c>
      <c r="P8" s="7">
        <f>IF(O8=""," ",VLOOKUP(O8,'[8]2012 личен състав ОТД'!$A:$AO,13,FALSE))</f>
        <v>0</v>
      </c>
      <c r="Q8" s="7">
        <f>IF(O8=""," ",VLOOKUP(O8,'[8]2012 личен състав ОТД'!$A:$AO,12,FALSE))</f>
        <v>0</v>
      </c>
      <c r="R8" s="7" t="str">
        <f>IF(A8=""," ",VLOOKUP(A8,'Профилиращ лист'!A:B,2,FALSE))</f>
        <v>ПЕД</v>
      </c>
      <c r="T8" s="7">
        <f t="shared" ca="1" si="1"/>
        <v>2013</v>
      </c>
    </row>
    <row r="9" spans="1:31" x14ac:dyDescent="0.25">
      <c r="A9" s="8" t="s">
        <v>19</v>
      </c>
      <c r="B9" s="4">
        <v>45</v>
      </c>
      <c r="C9" s="4">
        <v>60</v>
      </c>
      <c r="D9" s="4">
        <v>45</v>
      </c>
      <c r="E9" s="4">
        <v>15</v>
      </c>
      <c r="F9" s="4">
        <v>0</v>
      </c>
      <c r="G9" s="4">
        <f>H9-C9</f>
        <v>60</v>
      </c>
      <c r="H9" s="4">
        <f>I9*30</f>
        <v>120</v>
      </c>
      <c r="I9" s="4">
        <v>4</v>
      </c>
      <c r="J9" s="4" t="s">
        <v>12</v>
      </c>
      <c r="K9" s="73">
        <f t="shared" ref="K9:K40" si="6">SUMIF(A:A,A9,C:C)</f>
        <v>60</v>
      </c>
      <c r="L9" s="73">
        <f t="shared" ref="L9:L40" si="7">SUMIF(A:A,A9,D:D)</f>
        <v>45</v>
      </c>
      <c r="M9" s="73">
        <f t="shared" ref="M9:M40" si="8">SUMIF(A:A,A9,E:E)+SUMIF(A:A,A9,F:F)</f>
        <v>15</v>
      </c>
      <c r="N9" s="7" t="str">
        <f>IF(O9=""," ",VLOOKUP(O9,'[8]2012 личен състав ОТД'!$A:$AO,2,FALSE))</f>
        <v>доц. д-р Атанас Бучков</v>
      </c>
      <c r="O9" s="3" t="str">
        <f>IF(A9=""," ",VLOOKUP(A9,'Български и испански език'!A:O,15,FALSE))</f>
        <v>бучков</v>
      </c>
      <c r="P9" s="7">
        <f>IF(O9=""," ",VLOOKUP(O9,'[8]2012 личен състав ОТД'!$A:$AO,13,FALSE))</f>
        <v>1949</v>
      </c>
      <c r="Q9" s="7" t="str">
        <f>IF(O9=""," ",VLOOKUP(O9,'[8]2012 личен състав ОТД'!$A:$AO,12,FALSE))</f>
        <v>ОТД</v>
      </c>
      <c r="R9" s="7" t="str">
        <f>IF(A9=""," ",VLOOKUP(A9,'Профилиращ лист'!A:B,2,FALSE))</f>
        <v>ОФД</v>
      </c>
      <c r="T9" s="7">
        <f t="shared" ca="1" si="1"/>
        <v>64</v>
      </c>
    </row>
    <row r="10" spans="1:31" x14ac:dyDescent="0.25">
      <c r="A10" s="8" t="s">
        <v>20</v>
      </c>
      <c r="B10" s="4">
        <v>45</v>
      </c>
      <c r="C10" s="4">
        <v>60</v>
      </c>
      <c r="D10" s="4">
        <v>45</v>
      </c>
      <c r="E10" s="4">
        <v>15</v>
      </c>
      <c r="F10" s="4">
        <v>0</v>
      </c>
      <c r="G10" s="4">
        <f>H10-C10</f>
        <v>60</v>
      </c>
      <c r="H10" s="4">
        <f>I10*30</f>
        <v>120</v>
      </c>
      <c r="I10" s="4">
        <v>4</v>
      </c>
      <c r="J10" s="4" t="s">
        <v>12</v>
      </c>
      <c r="K10" s="73">
        <f t="shared" si="6"/>
        <v>60</v>
      </c>
      <c r="L10" s="73">
        <f t="shared" si="7"/>
        <v>45</v>
      </c>
      <c r="M10" s="73">
        <f t="shared" si="8"/>
        <v>15</v>
      </c>
      <c r="N10" s="7" t="str">
        <f>IF(O10=""," ",VLOOKUP(O10,'[8]2012 личен състав ОТД'!$A:$AO,2,FALSE))</f>
        <v>доц. д-р Иван Чобанов</v>
      </c>
      <c r="O10" s="3" t="str">
        <f>IF(A10=""," ",VLOOKUP(A10,'Български и испански език'!A:O,15,FALSE))</f>
        <v>чобанов</v>
      </c>
      <c r="P10" s="7">
        <f>IF(O10=""," ",VLOOKUP(O10,'[8]2012 личен състав ОТД'!$A:$AO,13,FALSE))</f>
        <v>1949</v>
      </c>
      <c r="Q10" s="7" t="str">
        <f>IF(O10=""," ",VLOOKUP(O10,'[8]2012 личен състав ОТД'!$A:$AO,12,FALSE))</f>
        <v>ОТД</v>
      </c>
      <c r="R10" s="7" t="str">
        <f>IF(A10=""," ",VLOOKUP(A10,'Профилиращ лист'!A:B,2,FALSE))</f>
        <v>ОФД</v>
      </c>
      <c r="T10" s="7">
        <f t="shared" ca="1" si="1"/>
        <v>64</v>
      </c>
    </row>
    <row r="11" spans="1:31" x14ac:dyDescent="0.25">
      <c r="B11" s="11">
        <f t="shared" ref="B11:I11" si="9">SUM(B3:B10)</f>
        <v>300</v>
      </c>
      <c r="C11" s="11">
        <f t="shared" si="9"/>
        <v>360</v>
      </c>
      <c r="D11" s="11">
        <f t="shared" si="9"/>
        <v>135</v>
      </c>
      <c r="E11" s="11">
        <f t="shared" si="9"/>
        <v>90</v>
      </c>
      <c r="F11" s="11">
        <f t="shared" si="9"/>
        <v>135</v>
      </c>
      <c r="G11" s="11">
        <f t="shared" si="9"/>
        <v>540</v>
      </c>
      <c r="H11" s="11">
        <f t="shared" si="9"/>
        <v>900</v>
      </c>
      <c r="I11" s="11">
        <f t="shared" si="9"/>
        <v>30</v>
      </c>
      <c r="J11" s="6"/>
      <c r="K11" s="73">
        <f t="shared" si="6"/>
        <v>0</v>
      </c>
      <c r="L11" s="73">
        <f t="shared" si="7"/>
        <v>0</v>
      </c>
      <c r="M11" s="73">
        <f t="shared" si="8"/>
        <v>0</v>
      </c>
      <c r="N11" s="7" t="e">
        <f>IF(O11=""," ",VLOOKUP(O11,'[8]2012 личен състав ОТД'!$A:$AO,2,FALSE))</f>
        <v>#N/A</v>
      </c>
      <c r="O11" s="3" t="str">
        <f>IF(A11=""," ",VLOOKUP(A11,'Български и испански език'!A:O,15,FALSE))</f>
        <v xml:space="preserve"> </v>
      </c>
      <c r="P11" s="7" t="e">
        <f>IF(O11=""," ",VLOOKUP(O11,'[8]2012 личен състав ОТД'!$A:$AO,13,FALSE))</f>
        <v>#N/A</v>
      </c>
      <c r="Q11" s="7" t="e">
        <f>IF(O11=""," ",VLOOKUP(O11,'[8]2012 личен състав ОТД'!$A:$AO,12,FALSE))</f>
        <v>#N/A</v>
      </c>
      <c r="R11" s="7" t="str">
        <f>IF(A11=""," ",VLOOKUP(A11,'Профилиращ лист'!A:B,2,FALSE))</f>
        <v xml:space="preserve"> </v>
      </c>
      <c r="T11" s="7" t="e">
        <f t="shared" ca="1" si="1"/>
        <v>#N/A</v>
      </c>
    </row>
    <row r="12" spans="1:31" x14ac:dyDescent="0.25">
      <c r="A12" s="1" t="s">
        <v>22</v>
      </c>
      <c r="B12" s="1"/>
      <c r="I12" s="13"/>
      <c r="J12" s="14"/>
      <c r="K12" s="73">
        <f t="shared" si="6"/>
        <v>0</v>
      </c>
      <c r="L12" s="73">
        <f t="shared" si="7"/>
        <v>0</v>
      </c>
      <c r="M12" s="73">
        <f t="shared" si="8"/>
        <v>0</v>
      </c>
      <c r="N12" s="7" t="str">
        <f>IF(O12=""," ",VLOOKUP(O12,'[8]2012 личен състав ОТД'!$A:$AO,2,FALSE))</f>
        <v xml:space="preserve">   </v>
      </c>
      <c r="O12" s="3">
        <f>IF(A12=""," ",VLOOKUP(A12,'Български и испански език'!A:O,15,FALSE))</f>
        <v>0</v>
      </c>
      <c r="P12" s="7">
        <f>IF(O12=""," ",VLOOKUP(O12,'[8]2012 личен състав ОТД'!$A:$AO,13,FALSE))</f>
        <v>0</v>
      </c>
      <c r="Q12" s="7">
        <f>IF(O12=""," ",VLOOKUP(O12,'[8]2012 личен състав ОТД'!$A:$AO,12,FALSE))</f>
        <v>0</v>
      </c>
      <c r="R12" s="7" t="e">
        <f>IF(A12=""," ",VLOOKUP(A12,'Профилиращ лист'!A:B,2,FALSE))</f>
        <v>#N/A</v>
      </c>
      <c r="T12" s="7">
        <f t="shared" ca="1" si="1"/>
        <v>2013</v>
      </c>
    </row>
    <row r="13" spans="1:31" x14ac:dyDescent="0.25">
      <c r="A13" s="8" t="s">
        <v>23</v>
      </c>
      <c r="B13" s="4">
        <v>45</v>
      </c>
      <c r="C13" s="4">
        <v>60</v>
      </c>
      <c r="D13" s="4">
        <v>45</v>
      </c>
      <c r="E13" s="4">
        <v>15</v>
      </c>
      <c r="F13" s="4">
        <v>0</v>
      </c>
      <c r="G13" s="4">
        <f t="shared" ref="G13:G18" si="10">H13-C13</f>
        <v>120</v>
      </c>
      <c r="H13" s="4">
        <f t="shared" ref="H13:H19" si="11">I13*30</f>
        <v>180</v>
      </c>
      <c r="I13" s="4">
        <v>6</v>
      </c>
      <c r="J13" s="4" t="s">
        <v>12</v>
      </c>
      <c r="K13" s="73">
        <f t="shared" si="6"/>
        <v>60</v>
      </c>
      <c r="L13" s="73">
        <f t="shared" si="7"/>
        <v>45</v>
      </c>
      <c r="M13" s="73">
        <f t="shared" si="8"/>
        <v>15</v>
      </c>
      <c r="N13" s="7" t="str">
        <f>IF(O13=""," ",VLOOKUP(O13,'[8]2012 личен състав ОТД'!$A:$AO,2,FALSE))</f>
        <v>доц. д-р Мария Йовчева</v>
      </c>
      <c r="O13" s="3" t="str">
        <f>IF(A13=""," ",VLOOKUP(A13,'Български и испански език'!A:O,15,FALSE))</f>
        <v>йовчева</v>
      </c>
      <c r="P13" s="7">
        <f>IF(O13=""," ",VLOOKUP(O13,'[8]2012 личен състав ОТД'!$A:$AO,13,FALSE))</f>
        <v>1959</v>
      </c>
      <c r="Q13" s="7" t="str">
        <f>IF(O13=""," ",VLOOKUP(O13,'[8]2012 личен състав ОТД'!$A:$AO,12,FALSE))</f>
        <v>ОТД</v>
      </c>
      <c r="R13" s="7" t="str">
        <f>IF(A13=""," ",VLOOKUP(A13,'Профилиращ лист'!A:B,2,FALSE))</f>
        <v>СПЕ</v>
      </c>
      <c r="T13" s="7">
        <f t="shared" ca="1" si="1"/>
        <v>54</v>
      </c>
    </row>
    <row r="14" spans="1:31" x14ac:dyDescent="0.25">
      <c r="A14" s="8" t="s">
        <v>13</v>
      </c>
      <c r="B14" s="4">
        <v>30</v>
      </c>
      <c r="C14" s="4">
        <v>45</v>
      </c>
      <c r="D14" s="4">
        <v>15</v>
      </c>
      <c r="E14" s="4">
        <v>30</v>
      </c>
      <c r="F14" s="4">
        <v>0</v>
      </c>
      <c r="G14" s="4">
        <f t="shared" si="10"/>
        <v>135</v>
      </c>
      <c r="H14" s="4">
        <f t="shared" si="11"/>
        <v>180</v>
      </c>
      <c r="I14" s="4">
        <v>6</v>
      </c>
      <c r="J14" s="4" t="s">
        <v>12</v>
      </c>
      <c r="K14" s="73">
        <f t="shared" si="6"/>
        <v>90</v>
      </c>
      <c r="L14" s="73">
        <f t="shared" si="7"/>
        <v>30</v>
      </c>
      <c r="M14" s="73">
        <f t="shared" si="8"/>
        <v>60</v>
      </c>
      <c r="N14" s="7" t="str">
        <f>IF(O14=""," ",VLOOKUP(O14,'[8]2012 личен състав ОТД'!$A:$AO,2,FALSE))</f>
        <v>доц. д-р Христина Тончева</v>
      </c>
      <c r="O14" s="3" t="s">
        <v>461</v>
      </c>
      <c r="P14" s="7">
        <f>IF(O14=""," ",VLOOKUP(O14,'[8]2012 личен състав ОТД'!$A:$AO,13,FALSE))</f>
        <v>1968</v>
      </c>
      <c r="Q14" s="7" t="str">
        <f>IF(O14=""," ",VLOOKUP(O14,'[8]2012 личен състав ОТД'!$A:$AO,12,FALSE))</f>
        <v>ОТД</v>
      </c>
      <c r="R14" s="7" t="str">
        <f>IF(A14=""," ",VLOOKUP(A14,'Профилиращ лист'!A:B,2,FALSE))</f>
        <v>ОФД</v>
      </c>
      <c r="T14" s="7">
        <f t="shared" ca="1" si="1"/>
        <v>45</v>
      </c>
    </row>
    <row r="15" spans="1:31" x14ac:dyDescent="0.25">
      <c r="A15" s="8" t="s">
        <v>24</v>
      </c>
      <c r="B15" s="4">
        <v>30</v>
      </c>
      <c r="C15" s="4">
        <v>60</v>
      </c>
      <c r="D15" s="4">
        <v>30</v>
      </c>
      <c r="E15" s="4">
        <v>30</v>
      </c>
      <c r="F15" s="4">
        <v>0</v>
      </c>
      <c r="G15" s="4">
        <f t="shared" si="10"/>
        <v>60</v>
      </c>
      <c r="H15" s="4">
        <f t="shared" si="11"/>
        <v>120</v>
      </c>
      <c r="I15" s="4">
        <v>4</v>
      </c>
      <c r="J15" s="4" t="s">
        <v>12</v>
      </c>
      <c r="K15" s="73">
        <f t="shared" si="6"/>
        <v>60</v>
      </c>
      <c r="L15" s="73">
        <f t="shared" si="7"/>
        <v>30</v>
      </c>
      <c r="M15" s="73">
        <f t="shared" si="8"/>
        <v>30</v>
      </c>
      <c r="N15" s="7" t="str">
        <f>IF(O15=""," ",VLOOKUP(O15,'[8]2012 личен състав ОТД'!$A:$AO,2,FALSE))</f>
        <v>доц. д-р Станка Козарова</v>
      </c>
      <c r="O15" s="3" t="str">
        <f>IF(A15=""," ",VLOOKUP(A15,'Български и испански език'!A:O,15,FALSE))</f>
        <v>козарова</v>
      </c>
      <c r="P15" s="7">
        <f>IF(O15=""," ",VLOOKUP(O15,'[8]2012 личен състав ОТД'!$A:$AO,13,FALSE))</f>
        <v>1959</v>
      </c>
      <c r="Q15" s="7" t="str">
        <f>IF(O15=""," ",VLOOKUP(O15,'[8]2012 личен състав ОТД'!$A:$AO,12,FALSE))</f>
        <v>ОТД</v>
      </c>
      <c r="R15" s="7" t="str">
        <f>IF(A15=""," ",VLOOKUP(A15,'Профилиращ лист'!A:B,2,FALSE))</f>
        <v>ОФД</v>
      </c>
      <c r="T15" s="7">
        <f t="shared" ca="1" si="1"/>
        <v>54</v>
      </c>
    </row>
    <row r="16" spans="1:31" x14ac:dyDescent="0.25">
      <c r="A16" s="8" t="s">
        <v>185</v>
      </c>
      <c r="B16" s="4">
        <v>90</v>
      </c>
      <c r="C16" s="4">
        <v>105</v>
      </c>
      <c r="D16" s="4">
        <v>0</v>
      </c>
      <c r="E16" s="4">
        <v>0</v>
      </c>
      <c r="F16" s="4">
        <v>105</v>
      </c>
      <c r="G16" s="4">
        <f t="shared" si="10"/>
        <v>135</v>
      </c>
      <c r="H16" s="4">
        <f t="shared" si="11"/>
        <v>240</v>
      </c>
      <c r="I16" s="4">
        <v>8</v>
      </c>
      <c r="J16" s="4" t="s">
        <v>12</v>
      </c>
      <c r="K16" s="73">
        <f t="shared" si="6"/>
        <v>555</v>
      </c>
      <c r="L16" s="73">
        <f t="shared" si="7"/>
        <v>0</v>
      </c>
      <c r="M16" s="73">
        <f t="shared" si="8"/>
        <v>555</v>
      </c>
      <c r="N16" s="7" t="e">
        <f>IF(O16=""," ",VLOOKUP(O16,'[8]2012 личен състав ОТД'!$A:$AO,2,FALSE))</f>
        <v>#N/A</v>
      </c>
      <c r="O16" s="3" t="e">
        <f>IF(A16=""," ",VLOOKUP(A16,'Български и испански език'!A:O,15,FALSE))</f>
        <v>#N/A</v>
      </c>
      <c r="P16" s="7" t="e">
        <f>IF(O16=""," ",VLOOKUP(O16,'[8]2012 личен състав ОТД'!$A:$AO,13,FALSE))</f>
        <v>#N/A</v>
      </c>
      <c r="Q16" s="7" t="e">
        <f>IF(O16=""," ",VLOOKUP(O16,'[8]2012 личен състав ОТД'!$A:$AO,12,FALSE))</f>
        <v>#N/A</v>
      </c>
      <c r="R16" s="7" t="e">
        <f>IF(A16=""," ",VLOOKUP(A16,'Профилиращ лист'!A:B,2,FALSE))</f>
        <v>#N/A</v>
      </c>
      <c r="T16" s="7" t="e">
        <f t="shared" ca="1" si="1"/>
        <v>#N/A</v>
      </c>
    </row>
    <row r="17" spans="1:20" x14ac:dyDescent="0.25">
      <c r="A17" s="8" t="s">
        <v>27</v>
      </c>
      <c r="B17" s="4">
        <v>15</v>
      </c>
      <c r="C17" s="4">
        <v>30</v>
      </c>
      <c r="D17" s="4">
        <v>0</v>
      </c>
      <c r="E17" s="4">
        <v>0</v>
      </c>
      <c r="F17" s="4">
        <v>30</v>
      </c>
      <c r="G17" s="4">
        <f t="shared" si="10"/>
        <v>30</v>
      </c>
      <c r="H17" s="4">
        <f t="shared" si="11"/>
        <v>60</v>
      </c>
      <c r="I17" s="4">
        <v>2</v>
      </c>
      <c r="J17" s="4" t="s">
        <v>18</v>
      </c>
      <c r="K17" s="73">
        <f t="shared" si="6"/>
        <v>30</v>
      </c>
      <c r="L17" s="73">
        <f t="shared" si="7"/>
        <v>0</v>
      </c>
      <c r="M17" s="73">
        <f t="shared" si="8"/>
        <v>30</v>
      </c>
      <c r="N17" s="7" t="str">
        <f>IF(O17=""," ",VLOOKUP(O17,'[8]2012 личен състав ОТД'!$A:$AO,2,FALSE))</f>
        <v xml:space="preserve">   </v>
      </c>
      <c r="O17" s="3">
        <f>IF(A17=""," ",VLOOKUP(A17,'Български и испански език'!A:O,15,FALSE))</f>
        <v>0</v>
      </c>
      <c r="P17" s="7">
        <f>IF(O17=""," ",VLOOKUP(O17,'[8]2012 личен състав ОТД'!$A:$AO,13,FALSE))</f>
        <v>0</v>
      </c>
      <c r="Q17" s="7">
        <f>IF(O17=""," ",VLOOKUP(O17,'[8]2012 личен състав ОТД'!$A:$AO,12,FALSE))</f>
        <v>0</v>
      </c>
      <c r="R17" s="7" t="str">
        <f>IF(A17=""," ",VLOOKUP(A17,'Профилиращ лист'!A:B,2,FALSE))</f>
        <v>ФД</v>
      </c>
      <c r="T17" s="7">
        <f t="shared" ca="1" si="1"/>
        <v>2013</v>
      </c>
    </row>
    <row r="18" spans="1:20" x14ac:dyDescent="0.25">
      <c r="A18" s="8" t="s">
        <v>89</v>
      </c>
      <c r="B18" s="4">
        <v>30</v>
      </c>
      <c r="C18" s="4">
        <v>45</v>
      </c>
      <c r="D18" s="4">
        <v>30</v>
      </c>
      <c r="E18" s="4">
        <v>15</v>
      </c>
      <c r="F18" s="4">
        <v>0</v>
      </c>
      <c r="G18" s="4">
        <f t="shared" si="10"/>
        <v>75</v>
      </c>
      <c r="H18" s="4">
        <f t="shared" si="11"/>
        <v>120</v>
      </c>
      <c r="I18" s="4">
        <v>4</v>
      </c>
      <c r="J18" s="4" t="s">
        <v>12</v>
      </c>
      <c r="K18" s="73">
        <f t="shared" si="6"/>
        <v>45</v>
      </c>
      <c r="L18" s="73">
        <f t="shared" si="7"/>
        <v>30</v>
      </c>
      <c r="M18" s="73">
        <f t="shared" si="8"/>
        <v>15</v>
      </c>
      <c r="N18" s="7" t="str">
        <f>IF(O18=""," ",VLOOKUP(O18,'[8]2012 личен състав ОТД'!$A:$AO,2,FALSE))</f>
        <v>доц. д-р Ваня Зидарова</v>
      </c>
      <c r="O18" s="3" t="str">
        <f>IF(A18=""," ",VLOOKUP(A18,'Български и испански език'!A:O,15,FALSE))</f>
        <v>зидарова</v>
      </c>
      <c r="P18" s="7">
        <f>IF(O18=""," ",VLOOKUP(O18,'[8]2012 личен състав ОТД'!$A:$AO,13,FALSE))</f>
        <v>1959</v>
      </c>
      <c r="Q18" s="7" t="str">
        <f>IF(O18=""," ",VLOOKUP(O18,'[8]2012 личен състав ОТД'!$A:$AO,12,FALSE))</f>
        <v>ОТД</v>
      </c>
      <c r="R18" s="7" t="str">
        <f>IF(A18=""," ",VLOOKUP(A18,'Профилиращ лист'!A:B,2,FALSE))</f>
        <v>ОФД</v>
      </c>
      <c r="T18" s="7">
        <f t="shared" ca="1" si="1"/>
        <v>54</v>
      </c>
    </row>
    <row r="19" spans="1:20" x14ac:dyDescent="0.25">
      <c r="A19" s="8" t="s">
        <v>29</v>
      </c>
      <c r="C19" s="4">
        <v>30</v>
      </c>
      <c r="D19" s="4">
        <v>0</v>
      </c>
      <c r="E19" s="4">
        <v>0</v>
      </c>
      <c r="F19" s="4">
        <f>C19-D19-E19</f>
        <v>30</v>
      </c>
      <c r="G19" s="4">
        <v>0</v>
      </c>
      <c r="H19" s="4">
        <f t="shared" si="11"/>
        <v>0</v>
      </c>
      <c r="I19" s="5">
        <v>0</v>
      </c>
      <c r="J19" s="4" t="s">
        <v>14</v>
      </c>
      <c r="K19" s="73">
        <f t="shared" si="6"/>
        <v>60</v>
      </c>
      <c r="L19" s="73">
        <f t="shared" si="7"/>
        <v>0</v>
      </c>
      <c r="M19" s="73">
        <f t="shared" si="8"/>
        <v>60</v>
      </c>
      <c r="N19" s="7" t="str">
        <f>IF(O19=""," ",VLOOKUP(O19,'[8]2012 личен състав ОТД'!$A:$AO,2,FALSE))</f>
        <v xml:space="preserve">   </v>
      </c>
      <c r="O19" s="3">
        <f>IF(A19=""," ",VLOOKUP(A19,'Български и испански език'!A:O,15,FALSE))</f>
        <v>0</v>
      </c>
      <c r="P19" s="7">
        <f>IF(O19=""," ",VLOOKUP(O19,'[8]2012 личен състав ОТД'!$A:$AO,13,FALSE))</f>
        <v>0</v>
      </c>
      <c r="Q19" s="7">
        <f>IF(O19=""," ",VLOOKUP(O19,'[8]2012 личен състав ОТД'!$A:$AO,12,FALSE))</f>
        <v>0</v>
      </c>
      <c r="R19" s="7" t="str">
        <f>IF(A19=""," ",VLOOKUP(A19,'Профилиращ лист'!A:B,2,FALSE))</f>
        <v>ПЕД</v>
      </c>
      <c r="T19" s="7">
        <f t="shared" ca="1" si="1"/>
        <v>2013</v>
      </c>
    </row>
    <row r="20" spans="1:20" x14ac:dyDescent="0.25">
      <c r="B20" s="9">
        <f t="shared" ref="B20:I20" si="12">SUM(B13:B18)</f>
        <v>240</v>
      </c>
      <c r="C20" s="9">
        <f t="shared" si="12"/>
        <v>345</v>
      </c>
      <c r="D20" s="9">
        <f t="shared" si="12"/>
        <v>120</v>
      </c>
      <c r="E20" s="9">
        <f t="shared" si="12"/>
        <v>90</v>
      </c>
      <c r="F20" s="9">
        <f t="shared" si="12"/>
        <v>135</v>
      </c>
      <c r="G20" s="9">
        <f t="shared" si="12"/>
        <v>555</v>
      </c>
      <c r="H20" s="9">
        <f t="shared" si="12"/>
        <v>900</v>
      </c>
      <c r="I20" s="9">
        <f t="shared" si="12"/>
        <v>30</v>
      </c>
      <c r="J20" s="6"/>
      <c r="K20" s="73">
        <f t="shared" si="6"/>
        <v>0</v>
      </c>
      <c r="L20" s="73">
        <f t="shared" si="7"/>
        <v>0</v>
      </c>
      <c r="M20" s="73">
        <f t="shared" si="8"/>
        <v>0</v>
      </c>
      <c r="N20" s="7" t="e">
        <f>IF(O20=""," ",VLOOKUP(O20,'[8]2012 личен състав ОТД'!$A:$AO,2,FALSE))</f>
        <v>#N/A</v>
      </c>
      <c r="O20" s="3" t="str">
        <f>IF(A20=""," ",VLOOKUP(A20,'Български и испански език'!A:O,15,FALSE))</f>
        <v xml:space="preserve"> </v>
      </c>
      <c r="P20" s="7" t="e">
        <f>IF(O20=""," ",VLOOKUP(O20,'[8]2012 личен състав ОТД'!$A:$AO,13,FALSE))</f>
        <v>#N/A</v>
      </c>
      <c r="Q20" s="7" t="e">
        <f>IF(O20=""," ",VLOOKUP(O20,'[8]2012 личен състав ОТД'!$A:$AO,12,FALSE))</f>
        <v>#N/A</v>
      </c>
      <c r="R20" s="7" t="str">
        <f>IF(A20=""," ",VLOOKUP(A20,'Профилиращ лист'!A:B,2,FALSE))</f>
        <v xml:space="preserve"> </v>
      </c>
      <c r="T20" s="7" t="e">
        <f t="shared" ca="1" si="1"/>
        <v>#N/A</v>
      </c>
    </row>
    <row r="21" spans="1:20" x14ac:dyDescent="0.25">
      <c r="A21" s="1" t="s">
        <v>30</v>
      </c>
      <c r="B21" s="1"/>
      <c r="I21" s="13"/>
      <c r="J21" s="14"/>
      <c r="K21" s="73">
        <f t="shared" si="6"/>
        <v>0</v>
      </c>
      <c r="L21" s="73">
        <f t="shared" si="7"/>
        <v>0</v>
      </c>
      <c r="M21" s="73">
        <f t="shared" si="8"/>
        <v>0</v>
      </c>
      <c r="N21" s="7" t="str">
        <f>IF(O21=""," ",VLOOKUP(O21,'[8]2012 личен състав ОТД'!$A:$AO,2,FALSE))</f>
        <v xml:space="preserve">   </v>
      </c>
      <c r="O21" s="3">
        <f>IF(A21=""," ",VLOOKUP(A21,'Български и испански език'!A:O,15,FALSE))</f>
        <v>0</v>
      </c>
      <c r="P21" s="7">
        <f>IF(O21=""," ",VLOOKUP(O21,'[8]2012 личен състав ОТД'!$A:$AO,13,FALSE))</f>
        <v>0</v>
      </c>
      <c r="Q21" s="7">
        <f>IF(O21=""," ",VLOOKUP(O21,'[8]2012 личен състав ОТД'!$A:$AO,12,FALSE))</f>
        <v>0</v>
      </c>
      <c r="R21" s="7" t="e">
        <f>IF(A21=""," ",VLOOKUP(A21,'Профилиращ лист'!A:B,2,FALSE))</f>
        <v>#N/A</v>
      </c>
      <c r="T21" s="7">
        <f t="shared" ca="1" si="1"/>
        <v>2013</v>
      </c>
    </row>
    <row r="22" spans="1:20" x14ac:dyDescent="0.25">
      <c r="A22" s="8" t="s">
        <v>31</v>
      </c>
      <c r="B22" s="4">
        <v>30</v>
      </c>
      <c r="C22" s="4">
        <v>30</v>
      </c>
      <c r="D22" s="4">
        <v>30</v>
      </c>
      <c r="E22" s="4">
        <v>0</v>
      </c>
      <c r="F22" s="4">
        <v>0</v>
      </c>
      <c r="G22" s="4">
        <f t="shared" ref="G22:G29" si="13">H22-C22</f>
        <v>60</v>
      </c>
      <c r="H22" s="4">
        <f t="shared" ref="H22:H29" si="14">I22*30</f>
        <v>90</v>
      </c>
      <c r="I22" s="4">
        <v>3</v>
      </c>
      <c r="J22" s="4" t="s">
        <v>14</v>
      </c>
      <c r="K22" s="73">
        <f t="shared" si="6"/>
        <v>75</v>
      </c>
      <c r="L22" s="73">
        <f t="shared" si="7"/>
        <v>60</v>
      </c>
      <c r="M22" s="73">
        <f t="shared" si="8"/>
        <v>15</v>
      </c>
      <c r="N22" s="7" t="str">
        <f>IF(O22=""," ",VLOOKUP(O22,'[8]2012 личен състав ОТД'!$A:$AO,2,FALSE))</f>
        <v>доц. д-р Елена Гетова</v>
      </c>
      <c r="O22" s="3" t="s">
        <v>468</v>
      </c>
      <c r="P22" s="7">
        <f>IF(O22=""," ",VLOOKUP(O22,'[8]2012 личен състав ОТД'!$A:$AO,13,FALSE))</f>
        <v>1969</v>
      </c>
      <c r="Q22" s="7" t="str">
        <f>IF(O22=""," ",VLOOKUP(O22,'[8]2012 личен състав ОТД'!$A:$AO,12,FALSE))</f>
        <v>ОТД</v>
      </c>
      <c r="R22" s="7" t="str">
        <f>IF(A22=""," ",VLOOKUP(A22,'Профилиращ лист'!A:B,2,FALSE))</f>
        <v>СПЕ</v>
      </c>
      <c r="T22" s="7">
        <f t="shared" ca="1" si="1"/>
        <v>44</v>
      </c>
    </row>
    <row r="23" spans="1:20" x14ac:dyDescent="0.25">
      <c r="A23" s="8" t="s">
        <v>32</v>
      </c>
      <c r="B23" s="4">
        <v>15</v>
      </c>
      <c r="C23" s="4">
        <v>30</v>
      </c>
      <c r="D23" s="4">
        <v>30</v>
      </c>
      <c r="E23" s="4">
        <v>0</v>
      </c>
      <c r="F23" s="4">
        <v>0</v>
      </c>
      <c r="G23" s="4">
        <f t="shared" si="13"/>
        <v>60</v>
      </c>
      <c r="H23" s="4">
        <f t="shared" si="14"/>
        <v>90</v>
      </c>
      <c r="I23" s="4">
        <v>3</v>
      </c>
      <c r="J23" s="6" t="s">
        <v>12</v>
      </c>
      <c r="K23" s="73">
        <f t="shared" si="6"/>
        <v>30</v>
      </c>
      <c r="L23" s="73">
        <f t="shared" si="7"/>
        <v>30</v>
      </c>
      <c r="M23" s="73">
        <f t="shared" si="8"/>
        <v>0</v>
      </c>
      <c r="N23" s="7" t="str">
        <f>IF(O23=""," ",VLOOKUP(O23,'[8]2012 личен състав ОТД'!$A:$AO,2,FALSE))</f>
        <v>проф. д.с.н. Албена Хранова</v>
      </c>
      <c r="O23" s="3" t="s">
        <v>485</v>
      </c>
      <c r="P23" s="7">
        <f>IF(O23=""," ",VLOOKUP(O23,'[8]2012 личен състав ОТД'!$A:$AO,13,FALSE))</f>
        <v>1960</v>
      </c>
      <c r="Q23" s="7" t="str">
        <f>IF(O23=""," ",VLOOKUP(O23,'[8]2012 личен състав ОТД'!$A:$AO,12,FALSE))</f>
        <v>ОТД</v>
      </c>
      <c r="R23" s="7" t="str">
        <f>IF(A23=""," ",VLOOKUP(A23,'Профилиращ лист'!A:B,2,FALSE))</f>
        <v>ИЗБ</v>
      </c>
      <c r="T23" s="7">
        <f t="shared" ca="1" si="1"/>
        <v>53</v>
      </c>
    </row>
    <row r="24" spans="1:20" x14ac:dyDescent="0.25">
      <c r="A24" s="8" t="s">
        <v>186</v>
      </c>
      <c r="B24" s="4">
        <v>30</v>
      </c>
      <c r="C24" s="4">
        <v>30</v>
      </c>
      <c r="D24" s="4">
        <v>30</v>
      </c>
      <c r="E24" s="4">
        <v>0</v>
      </c>
      <c r="F24" s="4">
        <v>0</v>
      </c>
      <c r="G24" s="4">
        <f t="shared" si="13"/>
        <v>60</v>
      </c>
      <c r="H24" s="4">
        <f t="shared" si="14"/>
        <v>90</v>
      </c>
      <c r="I24" s="4">
        <v>3</v>
      </c>
      <c r="J24" s="4" t="s">
        <v>12</v>
      </c>
      <c r="K24" s="73">
        <f t="shared" si="6"/>
        <v>30</v>
      </c>
      <c r="L24" s="73">
        <f t="shared" si="7"/>
        <v>30</v>
      </c>
      <c r="M24" s="73">
        <f t="shared" si="8"/>
        <v>0</v>
      </c>
      <c r="N24" s="7" t="str">
        <f>IF(O24=""," ",VLOOKUP(O24,'[8]2012 личен състав ОТД'!$A:$AO,2,FALSE))</f>
        <v>проф. дфн Иван Добрев</v>
      </c>
      <c r="O24" s="3" t="s">
        <v>515</v>
      </c>
      <c r="P24" s="7">
        <f>IF(O24=""," ",VLOOKUP(O24,'[8]2012 личен състав ОТД'!$A:$AO,13,FALSE))</f>
        <v>0</v>
      </c>
      <c r="Q24" s="7" t="str">
        <f>IF(O24=""," ",VLOOKUP(O24,'[8]2012 личен състав ОТД'!$A:$AO,12,FALSE))</f>
        <v>ХОН</v>
      </c>
      <c r="R24" s="7" t="s">
        <v>255</v>
      </c>
      <c r="T24" s="7">
        <f t="shared" ca="1" si="1"/>
        <v>2013</v>
      </c>
    </row>
    <row r="25" spans="1:20" x14ac:dyDescent="0.25">
      <c r="A25" s="8" t="s">
        <v>185</v>
      </c>
      <c r="B25" s="4">
        <v>90</v>
      </c>
      <c r="C25" s="4">
        <v>105</v>
      </c>
      <c r="D25" s="4">
        <v>0</v>
      </c>
      <c r="E25" s="4">
        <v>0</v>
      </c>
      <c r="F25" s="4">
        <v>105</v>
      </c>
      <c r="G25" s="4">
        <f t="shared" si="13"/>
        <v>135</v>
      </c>
      <c r="H25" s="4">
        <f t="shared" si="14"/>
        <v>240</v>
      </c>
      <c r="I25" s="4">
        <v>8</v>
      </c>
      <c r="J25" s="4" t="s">
        <v>14</v>
      </c>
      <c r="K25" s="73">
        <f t="shared" si="6"/>
        <v>555</v>
      </c>
      <c r="L25" s="73">
        <f t="shared" si="7"/>
        <v>0</v>
      </c>
      <c r="M25" s="73">
        <f t="shared" si="8"/>
        <v>555</v>
      </c>
      <c r="N25" s="7" t="e">
        <f>IF(O25=""," ",VLOOKUP(O25,'[8]2012 личен състав ОТД'!$A:$AO,2,FALSE))</f>
        <v>#N/A</v>
      </c>
      <c r="O25" s="3" t="e">
        <f>IF(A25=""," ",VLOOKUP(A25,'Български и испански език'!A:O,15,FALSE))</f>
        <v>#N/A</v>
      </c>
      <c r="P25" s="7" t="e">
        <f>IF(O25=""," ",VLOOKUP(O25,'[8]2012 личен състав ОТД'!$A:$AO,13,FALSE))</f>
        <v>#N/A</v>
      </c>
      <c r="Q25" s="7" t="e">
        <f>IF(O25=""," ",VLOOKUP(O25,'[8]2012 личен състав ОТД'!$A:$AO,12,FALSE))</f>
        <v>#N/A</v>
      </c>
      <c r="R25" s="7" t="e">
        <f>IF(A25=""," ",VLOOKUP(A25,'Профилиращ лист'!A:B,2,FALSE))</f>
        <v>#N/A</v>
      </c>
      <c r="T25" s="7" t="e">
        <f t="shared" ca="1" si="1"/>
        <v>#N/A</v>
      </c>
    </row>
    <row r="26" spans="1:20" x14ac:dyDescent="0.25">
      <c r="A26" s="8" t="s">
        <v>34</v>
      </c>
      <c r="B26" s="4">
        <v>60</v>
      </c>
      <c r="C26" s="4">
        <v>60</v>
      </c>
      <c r="D26" s="4">
        <v>45</v>
      </c>
      <c r="E26" s="4">
        <v>15</v>
      </c>
      <c r="F26" s="4">
        <v>0</v>
      </c>
      <c r="G26" s="4">
        <f t="shared" si="13"/>
        <v>60</v>
      </c>
      <c r="H26" s="4">
        <f t="shared" si="14"/>
        <v>120</v>
      </c>
      <c r="I26" s="4">
        <v>4</v>
      </c>
      <c r="J26" s="4" t="s">
        <v>12</v>
      </c>
      <c r="K26" s="73">
        <f t="shared" si="6"/>
        <v>60</v>
      </c>
      <c r="L26" s="73">
        <f t="shared" si="7"/>
        <v>45</v>
      </c>
      <c r="M26" s="73">
        <f t="shared" si="8"/>
        <v>15</v>
      </c>
      <c r="N26" s="7" t="str">
        <f>IF(O26=""," ",VLOOKUP(O26,'[8]2012 личен състав ОТД'!$A:$AO,2,FALSE))</f>
        <v>проф. д.п.н. Пламен Радев</v>
      </c>
      <c r="O26" s="3" t="str">
        <f>IF(A26=""," ",VLOOKUP(A26,'Български и испански език'!A:O,15,FALSE))</f>
        <v>радев</v>
      </c>
      <c r="P26" s="7">
        <f>IF(O26=""," ",VLOOKUP(O26,'[8]2012 личен състав ОТД'!$A:$AO,13,FALSE))</f>
        <v>1950</v>
      </c>
      <c r="Q26" s="7" t="str">
        <f>IF(O26=""," ",VLOOKUP(O26,'[8]2012 личен състав ОТД'!$A:$AO,12,FALSE))</f>
        <v>ОТД</v>
      </c>
      <c r="R26" s="7" t="str">
        <f>IF(A26=""," ",VLOOKUP(A26,'Профилиращ лист'!A:B,2,FALSE))</f>
        <v>ПЕД</v>
      </c>
      <c r="T26" s="7">
        <f t="shared" ca="1" si="1"/>
        <v>63</v>
      </c>
    </row>
    <row r="27" spans="1:20" x14ac:dyDescent="0.25">
      <c r="A27" s="8" t="s">
        <v>35</v>
      </c>
      <c r="B27" s="4">
        <v>45</v>
      </c>
      <c r="C27" s="4">
        <v>45</v>
      </c>
      <c r="D27" s="4">
        <v>45</v>
      </c>
      <c r="E27" s="4">
        <v>0</v>
      </c>
      <c r="F27" s="4">
        <v>0</v>
      </c>
      <c r="G27" s="4">
        <f t="shared" si="13"/>
        <v>45</v>
      </c>
      <c r="H27" s="4">
        <f t="shared" si="14"/>
        <v>90</v>
      </c>
      <c r="I27" s="4">
        <v>3</v>
      </c>
      <c r="J27" s="4" t="s">
        <v>12</v>
      </c>
      <c r="K27" s="73">
        <f t="shared" si="6"/>
        <v>45</v>
      </c>
      <c r="L27" s="73">
        <f t="shared" si="7"/>
        <v>45</v>
      </c>
      <c r="M27" s="73">
        <f t="shared" si="8"/>
        <v>0</v>
      </c>
      <c r="N27" s="7" t="str">
        <f>IF(O27=""," ",VLOOKUP(O27,'[8]2012 личен състав ОТД'!$A:$AO,2,FALSE))</f>
        <v>проф. д.п.н. Румен Стаматов</v>
      </c>
      <c r="O27" s="3" t="str">
        <f>IF(A27=""," ",VLOOKUP(A27,'Български и испански език'!A:O,15,FALSE))</f>
        <v>стаматов</v>
      </c>
      <c r="P27" s="7">
        <f>IF(O27=""," ",VLOOKUP(O27,'[8]2012 личен състав ОТД'!$A:$AO,13,FALSE))</f>
        <v>1953</v>
      </c>
      <c r="Q27" s="7" t="str">
        <f>IF(O27=""," ",VLOOKUP(O27,'[8]2012 личен състав ОТД'!$A:$AO,12,FALSE))</f>
        <v>ОТД</v>
      </c>
      <c r="R27" s="7" t="str">
        <f>IF(A27=""," ",VLOOKUP(A27,'Профилиращ лист'!A:B,2,FALSE))</f>
        <v>ПЕД</v>
      </c>
      <c r="T27" s="7">
        <f t="shared" ca="1" si="1"/>
        <v>60</v>
      </c>
    </row>
    <row r="28" spans="1:20" x14ac:dyDescent="0.25">
      <c r="A28" s="8" t="s">
        <v>95</v>
      </c>
      <c r="B28" s="4">
        <v>30</v>
      </c>
      <c r="C28" s="4">
        <v>45</v>
      </c>
      <c r="D28" s="4">
        <v>30</v>
      </c>
      <c r="E28" s="4">
        <v>15</v>
      </c>
      <c r="F28" s="4">
        <v>0</v>
      </c>
      <c r="G28" s="4">
        <f t="shared" si="13"/>
        <v>45</v>
      </c>
      <c r="H28" s="4">
        <f t="shared" si="14"/>
        <v>90</v>
      </c>
      <c r="I28" s="4">
        <v>3</v>
      </c>
      <c r="J28" s="4" t="s">
        <v>12</v>
      </c>
      <c r="K28" s="73">
        <f t="shared" si="6"/>
        <v>45</v>
      </c>
      <c r="L28" s="73">
        <f t="shared" si="7"/>
        <v>30</v>
      </c>
      <c r="M28" s="73">
        <f t="shared" si="8"/>
        <v>15</v>
      </c>
      <c r="N28" s="7" t="str">
        <f>IF(O28=""," ",VLOOKUP(O28,'[8]2012 личен състав ОТД'!$A:$AO,2,FALSE))</f>
        <v>гл. ас. д-р Иванка Гайдаджиева</v>
      </c>
      <c r="O28" s="3" t="str">
        <f>IF(A28=""," ",VLOOKUP(A28,'Български и испански език'!A:O,15,FALSE))</f>
        <v>гайдаджиева</v>
      </c>
      <c r="P28" s="7">
        <f>IF(O28=""," ",VLOOKUP(O28,'[8]2012 личен състав ОТД'!$A:$AO,13,FALSE))</f>
        <v>1958</v>
      </c>
      <c r="Q28" s="7" t="str">
        <f>IF(O28=""," ",VLOOKUP(O28,'[8]2012 личен състав ОТД'!$A:$AO,12,FALSE))</f>
        <v>ОТД</v>
      </c>
      <c r="R28" s="7" t="str">
        <f>IF(A28=""," ",VLOOKUP(A28,'Профилиращ лист'!A:B,2,FALSE))</f>
        <v>СПЕ</v>
      </c>
      <c r="T28" s="7">
        <f t="shared" ca="1" si="1"/>
        <v>55</v>
      </c>
    </row>
    <row r="29" spans="1:20" x14ac:dyDescent="0.25">
      <c r="A29" s="8" t="s">
        <v>187</v>
      </c>
      <c r="B29" s="4">
        <v>30</v>
      </c>
      <c r="C29" s="4">
        <v>30</v>
      </c>
      <c r="D29" s="4">
        <v>30</v>
      </c>
      <c r="E29" s="4">
        <v>0</v>
      </c>
      <c r="F29" s="4">
        <v>0</v>
      </c>
      <c r="G29" s="4">
        <f t="shared" si="13"/>
        <v>60</v>
      </c>
      <c r="H29" s="4">
        <f t="shared" si="14"/>
        <v>90</v>
      </c>
      <c r="I29" s="4">
        <v>3</v>
      </c>
      <c r="J29" s="6" t="s">
        <v>12</v>
      </c>
      <c r="K29" s="73">
        <f t="shared" si="6"/>
        <v>30</v>
      </c>
      <c r="L29" s="73">
        <f t="shared" si="7"/>
        <v>30</v>
      </c>
      <c r="M29" s="73">
        <f t="shared" si="8"/>
        <v>0</v>
      </c>
      <c r="N29" s="7" t="str">
        <f>IF(O29=""," ",VLOOKUP(O29,'[8]2012 личен състав ОТД'!$A:$AO,2,FALSE))</f>
        <v>проф. дфн Иван Добрев</v>
      </c>
      <c r="O29" s="3" t="s">
        <v>515</v>
      </c>
      <c r="P29" s="7">
        <f>IF(O29=""," ",VLOOKUP(O29,'[8]2012 личен състав ОТД'!$A:$AO,13,FALSE))</f>
        <v>0</v>
      </c>
      <c r="Q29" s="7" t="str">
        <f>IF(O29=""," ",VLOOKUP(O29,'[8]2012 личен състав ОТД'!$A:$AO,12,FALSE))</f>
        <v>ХОН</v>
      </c>
      <c r="R29" s="7" t="s">
        <v>255</v>
      </c>
      <c r="T29" s="7">
        <f t="shared" ca="1" si="1"/>
        <v>2013</v>
      </c>
    </row>
    <row r="30" spans="1:20" x14ac:dyDescent="0.25">
      <c r="A30" s="8" t="s">
        <v>29</v>
      </c>
      <c r="C30" s="4">
        <v>30</v>
      </c>
      <c r="D30" s="4">
        <v>0</v>
      </c>
      <c r="E30" s="4">
        <v>0</v>
      </c>
      <c r="F30" s="4">
        <f>C30-D30-E30</f>
        <v>30</v>
      </c>
      <c r="G30" s="4">
        <v>0</v>
      </c>
      <c r="H30" s="4">
        <v>0</v>
      </c>
      <c r="I30" s="5">
        <v>0</v>
      </c>
      <c r="J30" s="4" t="s">
        <v>14</v>
      </c>
      <c r="K30" s="73">
        <f t="shared" si="6"/>
        <v>60</v>
      </c>
      <c r="L30" s="73">
        <f t="shared" si="7"/>
        <v>0</v>
      </c>
      <c r="M30" s="73">
        <f t="shared" si="8"/>
        <v>60</v>
      </c>
      <c r="N30" s="7" t="str">
        <f>IF(O30=""," ",VLOOKUP(O30,'[8]2012 личен състав ОТД'!$A:$AO,2,FALSE))</f>
        <v xml:space="preserve">   </v>
      </c>
      <c r="O30" s="3">
        <f>IF(A30=""," ",VLOOKUP(A30,'Български и испански език'!A:O,15,FALSE))</f>
        <v>0</v>
      </c>
      <c r="P30" s="7">
        <f>IF(O30=""," ",VLOOKUP(O30,'[8]2012 личен състав ОТД'!$A:$AO,13,FALSE))</f>
        <v>0</v>
      </c>
      <c r="Q30" s="7">
        <f>IF(O30=""," ",VLOOKUP(O30,'[8]2012 личен състав ОТД'!$A:$AO,12,FALSE))</f>
        <v>0</v>
      </c>
      <c r="R30" s="7" t="str">
        <f>IF(A30=""," ",VLOOKUP(A30,'Профилиращ лист'!A:B,2,FALSE))</f>
        <v>ПЕД</v>
      </c>
      <c r="T30" s="7">
        <f t="shared" ca="1" si="1"/>
        <v>2013</v>
      </c>
    </row>
    <row r="31" spans="1:20" x14ac:dyDescent="0.25">
      <c r="B31" s="9">
        <f t="shared" ref="B31:I31" si="15">SUM(B22:B29)</f>
        <v>330</v>
      </c>
      <c r="C31" s="9">
        <f t="shared" si="15"/>
        <v>375</v>
      </c>
      <c r="D31" s="9">
        <f t="shared" si="15"/>
        <v>240</v>
      </c>
      <c r="E31" s="9">
        <f t="shared" si="15"/>
        <v>30</v>
      </c>
      <c r="F31" s="9">
        <f t="shared" si="15"/>
        <v>105</v>
      </c>
      <c r="G31" s="9">
        <f t="shared" si="15"/>
        <v>525</v>
      </c>
      <c r="H31" s="9">
        <f t="shared" si="15"/>
        <v>900</v>
      </c>
      <c r="I31" s="9">
        <f t="shared" si="15"/>
        <v>30</v>
      </c>
      <c r="J31" s="6"/>
      <c r="K31" s="73">
        <f t="shared" si="6"/>
        <v>0</v>
      </c>
      <c r="L31" s="73">
        <f t="shared" si="7"/>
        <v>0</v>
      </c>
      <c r="M31" s="73">
        <f t="shared" si="8"/>
        <v>0</v>
      </c>
      <c r="N31" s="7" t="e">
        <f>IF(O31=""," ",VLOOKUP(O31,'[8]2012 личен състав ОТД'!$A:$AO,2,FALSE))</f>
        <v>#N/A</v>
      </c>
      <c r="O31" s="3" t="str">
        <f>IF(A31=""," ",VLOOKUP(A31,'Български и испански език'!A:O,15,FALSE))</f>
        <v xml:space="preserve"> </v>
      </c>
      <c r="P31" s="7" t="e">
        <f>IF(O31=""," ",VLOOKUP(O31,'[8]2012 личен състав ОТД'!$A:$AO,13,FALSE))</f>
        <v>#N/A</v>
      </c>
      <c r="Q31" s="7" t="e">
        <f>IF(O31=""," ",VLOOKUP(O31,'[8]2012 личен състав ОТД'!$A:$AO,12,FALSE))</f>
        <v>#N/A</v>
      </c>
      <c r="R31" s="7" t="str">
        <f>IF(A31=""," ",VLOOKUP(A31,'Профилиращ лист'!A:B,2,FALSE))</f>
        <v xml:space="preserve"> </v>
      </c>
      <c r="T31" s="7" t="e">
        <f t="shared" ca="1" si="1"/>
        <v>#N/A</v>
      </c>
    </row>
    <row r="32" spans="1:20" x14ac:dyDescent="0.25">
      <c r="A32" s="1" t="s">
        <v>38</v>
      </c>
      <c r="B32" s="1"/>
      <c r="I32" s="13"/>
      <c r="J32" s="14"/>
      <c r="K32" s="73">
        <f t="shared" si="6"/>
        <v>0</v>
      </c>
      <c r="L32" s="73">
        <f t="shared" si="7"/>
        <v>0</v>
      </c>
      <c r="M32" s="73">
        <f t="shared" si="8"/>
        <v>0</v>
      </c>
      <c r="N32" s="7" t="str">
        <f>IF(O32=""," ",VLOOKUP(O32,'[8]2012 личен състав ОТД'!$A:$AO,2,FALSE))</f>
        <v xml:space="preserve">   </v>
      </c>
      <c r="O32" s="3">
        <f>IF(A32=""," ",VLOOKUP(A32,'Български и испански език'!A:O,15,FALSE))</f>
        <v>0</v>
      </c>
      <c r="P32" s="7">
        <f>IF(O32=""," ",VLOOKUP(O32,'[8]2012 личен състав ОТД'!$A:$AO,13,FALSE))</f>
        <v>0</v>
      </c>
      <c r="Q32" s="7">
        <f>IF(O32=""," ",VLOOKUP(O32,'[8]2012 личен състав ОТД'!$A:$AO,12,FALSE))</f>
        <v>0</v>
      </c>
      <c r="R32" s="7" t="e">
        <f>IF(A32=""," ",VLOOKUP(A32,'Профилиращ лист'!A:B,2,FALSE))</f>
        <v>#N/A</v>
      </c>
      <c r="T32" s="7">
        <f t="shared" ca="1" si="1"/>
        <v>2013</v>
      </c>
    </row>
    <row r="33" spans="1:28" x14ac:dyDescent="0.25">
      <c r="A33" s="8" t="s">
        <v>39</v>
      </c>
      <c r="B33" s="4">
        <v>45</v>
      </c>
      <c r="C33" s="4">
        <v>45</v>
      </c>
      <c r="D33" s="4">
        <v>30</v>
      </c>
      <c r="E33" s="4">
        <v>15</v>
      </c>
      <c r="F33" s="4">
        <v>0</v>
      </c>
      <c r="G33" s="4">
        <f t="shared" ref="G33:G41" si="16">H33-C33</f>
        <v>75</v>
      </c>
      <c r="H33" s="4">
        <f t="shared" ref="H33:H41" si="17">I33*30</f>
        <v>120</v>
      </c>
      <c r="I33" s="4">
        <v>4</v>
      </c>
      <c r="J33" s="4" t="s">
        <v>14</v>
      </c>
      <c r="K33" s="73">
        <f t="shared" si="6"/>
        <v>105</v>
      </c>
      <c r="L33" s="73">
        <f t="shared" si="7"/>
        <v>60</v>
      </c>
      <c r="M33" s="73">
        <f t="shared" si="8"/>
        <v>45</v>
      </c>
      <c r="N33" s="7" t="str">
        <f>IF(O33=""," ",VLOOKUP(O33,'[8]2012 личен състав ОТД'!$A:$AO,2,FALSE))</f>
        <v>доц. д-р Светла Черпокова-Захариева</v>
      </c>
      <c r="O33" s="3" t="s">
        <v>472</v>
      </c>
      <c r="P33" s="7">
        <f>IF(O33=""," ",VLOOKUP(O33,'[8]2012 личен състав ОТД'!$A:$AO,13,FALSE))</f>
        <v>1967</v>
      </c>
      <c r="Q33" s="7" t="str">
        <f>IF(O33=""," ",VLOOKUP(O33,'[8]2012 личен състав ОТД'!$A:$AO,12,FALSE))</f>
        <v>ОТД</v>
      </c>
      <c r="R33" s="7" t="s">
        <v>265</v>
      </c>
      <c r="T33" s="7">
        <f t="shared" ca="1" si="1"/>
        <v>46</v>
      </c>
    </row>
    <row r="34" spans="1:28" x14ac:dyDescent="0.25">
      <c r="A34" s="8" t="s">
        <v>31</v>
      </c>
      <c r="B34" s="4">
        <v>30</v>
      </c>
      <c r="C34" s="4">
        <v>45</v>
      </c>
      <c r="D34" s="4">
        <v>30</v>
      </c>
      <c r="E34" s="4">
        <v>15</v>
      </c>
      <c r="F34" s="4">
        <v>0</v>
      </c>
      <c r="G34" s="4">
        <f t="shared" si="16"/>
        <v>45</v>
      </c>
      <c r="H34" s="4">
        <f t="shared" si="17"/>
        <v>90</v>
      </c>
      <c r="I34" s="4">
        <v>3</v>
      </c>
      <c r="J34" s="4" t="s">
        <v>12</v>
      </c>
      <c r="K34" s="73">
        <f t="shared" si="6"/>
        <v>75</v>
      </c>
      <c r="L34" s="73">
        <f t="shared" si="7"/>
        <v>60</v>
      </c>
      <c r="M34" s="73">
        <f t="shared" si="8"/>
        <v>15</v>
      </c>
      <c r="N34" s="7" t="str">
        <f>IF(O34=""," ",VLOOKUP(O34,'[8]2012 личен състав ОТД'!$A:$AO,2,FALSE))</f>
        <v>доц. д-р Елена Гетова</v>
      </c>
      <c r="O34" s="3" t="s">
        <v>468</v>
      </c>
      <c r="P34" s="7">
        <f>IF(O34=""," ",VLOOKUP(O34,'[8]2012 личен състав ОТД'!$A:$AO,13,FALSE))</f>
        <v>1969</v>
      </c>
      <c r="Q34" s="7" t="str">
        <f>IF(O34=""," ",VLOOKUP(O34,'[8]2012 личен състав ОТД'!$A:$AO,12,FALSE))</f>
        <v>ОТД</v>
      </c>
      <c r="R34" s="7" t="str">
        <f>IF(A34=""," ",VLOOKUP(A34,'Профилиращ лист'!A:B,2,FALSE))</f>
        <v>СПЕ</v>
      </c>
      <c r="T34" s="7">
        <f t="shared" ca="1" si="1"/>
        <v>44</v>
      </c>
    </row>
    <row r="35" spans="1:28" x14ac:dyDescent="0.25">
      <c r="A35" s="8" t="s">
        <v>40</v>
      </c>
      <c r="B35" s="8">
        <v>30</v>
      </c>
      <c r="C35" s="4">
        <v>45</v>
      </c>
      <c r="D35" s="4">
        <v>30</v>
      </c>
      <c r="E35" s="4">
        <v>15</v>
      </c>
      <c r="F35" s="4">
        <f>C35-D35-E35</f>
        <v>0</v>
      </c>
      <c r="G35" s="4">
        <f t="shared" si="16"/>
        <v>45</v>
      </c>
      <c r="H35" s="4">
        <f t="shared" si="17"/>
        <v>90</v>
      </c>
      <c r="I35" s="4">
        <v>3</v>
      </c>
      <c r="J35" s="4" t="s">
        <v>12</v>
      </c>
      <c r="K35" s="73">
        <f t="shared" si="6"/>
        <v>45</v>
      </c>
      <c r="L35" s="73">
        <f t="shared" si="7"/>
        <v>30</v>
      </c>
      <c r="M35" s="73">
        <f t="shared" si="8"/>
        <v>15</v>
      </c>
      <c r="N35" s="7" t="str">
        <f>IF(O35=""," ",VLOOKUP(O35,'[8]2012 личен състав ОТД'!$A:$AO,2,FALSE))</f>
        <v>проф. дфн Диана Иванова</v>
      </c>
      <c r="O35" s="3" t="str">
        <f>IF(A35=""," ",VLOOKUP(A35,'Български и испански език'!A:O,15,FALSE))</f>
        <v>диванова</v>
      </c>
      <c r="P35" s="7">
        <f>IF(O35=""," ",VLOOKUP(O35,'[8]2012 личен състав ОТД'!$A:$AO,13,FALSE))</f>
        <v>1950</v>
      </c>
      <c r="Q35" s="7" t="str">
        <f>IF(O35=""," ",VLOOKUP(O35,'[8]2012 личен състав ОТД'!$A:$AO,12,FALSE))</f>
        <v>ОТД</v>
      </c>
      <c r="R35" s="7" t="str">
        <f>IF(A35=""," ",VLOOKUP(A35,'Профилиращ лист'!A:B,2,FALSE))</f>
        <v>СПЕ</v>
      </c>
      <c r="T35" s="7">
        <f t="shared" ref="T35:T66" ca="1" si="18">Години-P35</f>
        <v>63</v>
      </c>
    </row>
    <row r="36" spans="1:28" x14ac:dyDescent="0.25">
      <c r="A36" s="8" t="s">
        <v>185</v>
      </c>
      <c r="B36" s="4">
        <v>90</v>
      </c>
      <c r="C36" s="4">
        <v>90</v>
      </c>
      <c r="D36" s="4">
        <v>0</v>
      </c>
      <c r="E36" s="4">
        <v>0</v>
      </c>
      <c r="F36" s="4">
        <v>90</v>
      </c>
      <c r="G36" s="4">
        <f t="shared" si="16"/>
        <v>90</v>
      </c>
      <c r="H36" s="4">
        <f t="shared" si="17"/>
        <v>180</v>
      </c>
      <c r="I36" s="4">
        <v>6</v>
      </c>
      <c r="J36" s="6" t="s">
        <v>12</v>
      </c>
      <c r="K36" s="73">
        <f t="shared" si="6"/>
        <v>555</v>
      </c>
      <c r="L36" s="73">
        <f t="shared" si="7"/>
        <v>0</v>
      </c>
      <c r="M36" s="73">
        <f t="shared" si="8"/>
        <v>555</v>
      </c>
      <c r="N36" s="7" t="e">
        <f>IF(O36=""," ",VLOOKUP(O36,'[8]2012 личен състав ОТД'!$A:$AO,2,FALSE))</f>
        <v>#N/A</v>
      </c>
      <c r="O36" s="3" t="e">
        <f>IF(A36=""," ",VLOOKUP(A36,'Български и испански език'!A:O,15,FALSE))</f>
        <v>#N/A</v>
      </c>
      <c r="P36" s="7" t="e">
        <f>IF(O36=""," ",VLOOKUP(O36,'[8]2012 личен състав ОТД'!$A:$AO,13,FALSE))</f>
        <v>#N/A</v>
      </c>
      <c r="Q36" s="7" t="e">
        <f>IF(O36=""," ",VLOOKUP(O36,'[8]2012 личен състав ОТД'!$A:$AO,12,FALSE))</f>
        <v>#N/A</v>
      </c>
      <c r="R36" s="7" t="e">
        <f>IF(A36=""," ",VLOOKUP(A36,'Профилиращ лист'!A:B,2,FALSE))</f>
        <v>#N/A</v>
      </c>
      <c r="T36" s="7" t="e">
        <f t="shared" ca="1" si="18"/>
        <v>#N/A</v>
      </c>
    </row>
    <row r="37" spans="1:28" x14ac:dyDescent="0.25">
      <c r="A37" s="8" t="s">
        <v>42</v>
      </c>
      <c r="B37" s="4">
        <v>60</v>
      </c>
      <c r="C37" s="4">
        <v>60</v>
      </c>
      <c r="D37" s="4">
        <v>60</v>
      </c>
      <c r="E37" s="4">
        <v>0</v>
      </c>
      <c r="F37" s="4">
        <v>0</v>
      </c>
      <c r="G37" s="4">
        <f t="shared" si="16"/>
        <v>60</v>
      </c>
      <c r="H37" s="4">
        <f t="shared" si="17"/>
        <v>120</v>
      </c>
      <c r="I37" s="4">
        <v>4</v>
      </c>
      <c r="J37" s="4" t="s">
        <v>12</v>
      </c>
      <c r="K37" s="73">
        <f t="shared" si="6"/>
        <v>60</v>
      </c>
      <c r="L37" s="73">
        <f t="shared" si="7"/>
        <v>60</v>
      </c>
      <c r="M37" s="73">
        <f t="shared" si="8"/>
        <v>0</v>
      </c>
      <c r="N37" s="7" t="str">
        <f>IF(O37=""," ",VLOOKUP(O37,'[8]2012 личен състав ОТД'!$A:$AO,2,FALSE))</f>
        <v>доц. д-р Николай Нейчев</v>
      </c>
      <c r="O37" s="3" t="str">
        <f>IF(A37=""," ",VLOOKUP(A37,'Български и испански език'!A:O,15,FALSE))</f>
        <v>нейчев</v>
      </c>
      <c r="P37" s="7">
        <f>IF(O37=""," ",VLOOKUP(O37,'[8]2012 личен състав ОТД'!$A:$AO,13,FALSE))</f>
        <v>1959</v>
      </c>
      <c r="Q37" s="7" t="str">
        <f>IF(O37=""," ",VLOOKUP(O37,'[8]2012 личен състав ОТД'!$A:$AO,12,FALSE))</f>
        <v>ОТД</v>
      </c>
      <c r="R37" s="7" t="str">
        <f>IF(A37=""," ",VLOOKUP(A37,'Профилиращ лист'!A:B,2,FALSE))</f>
        <v>ОФД</v>
      </c>
      <c r="T37" s="7">
        <f t="shared" ca="1" si="18"/>
        <v>54</v>
      </c>
    </row>
    <row r="38" spans="1:28" x14ac:dyDescent="0.25">
      <c r="A38" s="8" t="s">
        <v>188</v>
      </c>
      <c r="B38" s="4">
        <v>30</v>
      </c>
      <c r="C38" s="4">
        <v>30</v>
      </c>
      <c r="D38" s="4">
        <v>15</v>
      </c>
      <c r="E38" s="4">
        <v>15</v>
      </c>
      <c r="F38" s="4">
        <v>0</v>
      </c>
      <c r="G38" s="4">
        <f t="shared" si="16"/>
        <v>60</v>
      </c>
      <c r="H38" s="4">
        <f t="shared" si="17"/>
        <v>90</v>
      </c>
      <c r="I38" s="4">
        <v>3</v>
      </c>
      <c r="J38" s="4" t="s">
        <v>14</v>
      </c>
      <c r="K38" s="73">
        <f t="shared" si="6"/>
        <v>60</v>
      </c>
      <c r="L38" s="73">
        <f t="shared" si="7"/>
        <v>30</v>
      </c>
      <c r="M38" s="73">
        <f t="shared" si="8"/>
        <v>30</v>
      </c>
      <c r="N38" s="7" t="str">
        <f>IF(O38=""," ",VLOOKUP(O38,'[8]2012 личен състав ОТД'!$A:$AO,2,FALSE))</f>
        <v>доц. д-р Аднан Карагюл</v>
      </c>
      <c r="O38" s="3" t="s">
        <v>516</v>
      </c>
      <c r="P38" s="7">
        <f>IF(O38=""," ",VLOOKUP(O38,'[8]2012 личен състав ОТД'!$A:$AO,13,FALSE))</f>
        <v>0</v>
      </c>
      <c r="Q38" s="7" t="str">
        <f>IF(O38=""," ",VLOOKUP(O38,'[8]2012 личен състав ОТД'!$A:$AO,12,FALSE))</f>
        <v>ХОН</v>
      </c>
      <c r="R38" s="7" t="e">
        <f>IF(A38=""," ",VLOOKUP(A38,'Профилиращ лист'!A:B,2,FALSE))</f>
        <v>#N/A</v>
      </c>
      <c r="T38" s="7">
        <f t="shared" ca="1" si="18"/>
        <v>2013</v>
      </c>
    </row>
    <row r="39" spans="1:28" x14ac:dyDescent="0.25">
      <c r="A39" s="8" t="s">
        <v>44</v>
      </c>
      <c r="B39" s="4">
        <v>30</v>
      </c>
      <c r="C39" s="4">
        <v>45</v>
      </c>
      <c r="D39" s="4">
        <v>30</v>
      </c>
      <c r="E39" s="4">
        <v>15</v>
      </c>
      <c r="F39" s="4">
        <v>0</v>
      </c>
      <c r="G39" s="4">
        <f t="shared" si="16"/>
        <v>15</v>
      </c>
      <c r="H39" s="4">
        <f t="shared" si="17"/>
        <v>60</v>
      </c>
      <c r="I39" s="4">
        <v>2</v>
      </c>
      <c r="J39" s="4" t="s">
        <v>14</v>
      </c>
      <c r="K39" s="73">
        <f t="shared" si="6"/>
        <v>90</v>
      </c>
      <c r="L39" s="73">
        <f t="shared" si="7"/>
        <v>60</v>
      </c>
      <c r="M39" s="73">
        <f t="shared" si="8"/>
        <v>30</v>
      </c>
      <c r="N39" s="7" t="str">
        <f>IF(O39=""," ",VLOOKUP(O39,'[8]2012 личен състав ОТД'!$A:$AO,2,FALSE))</f>
        <v>доц. д-р Константин Куцаров</v>
      </c>
      <c r="O39" s="3" t="s">
        <v>491</v>
      </c>
      <c r="P39" s="7">
        <f>IF(O39=""," ",VLOOKUP(O39,'[8]2012 личен състав ОТД'!$A:$AO,13,FALSE))</f>
        <v>1968</v>
      </c>
      <c r="Q39" s="7" t="str">
        <f>IF(O39=""," ",VLOOKUP(O39,'[8]2012 личен състав ОТД'!$A:$AO,12,FALSE))</f>
        <v>ОТД</v>
      </c>
      <c r="R39" s="7" t="str">
        <f>IF(A39=""," ",VLOOKUP(A39,'Профилиращ лист'!A:B,2,FALSE))</f>
        <v>СПЕ</v>
      </c>
      <c r="T39" s="7">
        <f t="shared" ca="1" si="18"/>
        <v>45</v>
      </c>
    </row>
    <row r="40" spans="1:28" x14ac:dyDescent="0.25">
      <c r="A40" s="8" t="s">
        <v>189</v>
      </c>
      <c r="B40" s="4">
        <v>30</v>
      </c>
      <c r="C40" s="4">
        <v>30</v>
      </c>
      <c r="D40" s="4">
        <v>15</v>
      </c>
      <c r="E40" s="4">
        <v>15</v>
      </c>
      <c r="F40" s="4">
        <v>0</v>
      </c>
      <c r="G40" s="4">
        <f t="shared" si="16"/>
        <v>30</v>
      </c>
      <c r="H40" s="4">
        <f t="shared" si="17"/>
        <v>60</v>
      </c>
      <c r="I40" s="4">
        <v>2</v>
      </c>
      <c r="J40" s="4" t="s">
        <v>14</v>
      </c>
      <c r="K40" s="73">
        <f t="shared" si="6"/>
        <v>60</v>
      </c>
      <c r="L40" s="73">
        <f t="shared" si="7"/>
        <v>30</v>
      </c>
      <c r="M40" s="73">
        <f t="shared" si="8"/>
        <v>30</v>
      </c>
      <c r="N40" s="7" t="str">
        <f>IF(O40=""," ",VLOOKUP(O40,'[8]2012 личен състав ОТД'!$A:$AO,2,FALSE))</f>
        <v>проф. дфн Иван Добрев</v>
      </c>
      <c r="O40" s="3" t="s">
        <v>515</v>
      </c>
      <c r="P40" s="7">
        <f>IF(O40=""," ",VLOOKUP(O40,'[8]2012 личен състав ОТД'!$A:$AO,13,FALSE))</f>
        <v>0</v>
      </c>
      <c r="Q40" s="7" t="str">
        <f>IF(O40=""," ",VLOOKUP(O40,'[8]2012 личен състав ОТД'!$A:$AO,12,FALSE))</f>
        <v>ХОН</v>
      </c>
      <c r="R40" s="7" t="e">
        <f>IF(A40=""," ",VLOOKUP(A40,'Профилиращ лист'!A:B,2,FALSE))</f>
        <v>#N/A</v>
      </c>
      <c r="T40" s="7">
        <f t="shared" ca="1" si="18"/>
        <v>2013</v>
      </c>
    </row>
    <row r="41" spans="1:28" x14ac:dyDescent="0.25">
      <c r="A41" s="8" t="s">
        <v>190</v>
      </c>
      <c r="B41" s="4">
        <v>30</v>
      </c>
      <c r="C41" s="4">
        <v>45</v>
      </c>
      <c r="D41" s="4">
        <v>30</v>
      </c>
      <c r="E41" s="4">
        <v>15</v>
      </c>
      <c r="F41" s="4">
        <v>0</v>
      </c>
      <c r="G41" s="4">
        <f t="shared" si="16"/>
        <v>45</v>
      </c>
      <c r="H41" s="4">
        <f t="shared" si="17"/>
        <v>90</v>
      </c>
      <c r="I41" s="4">
        <v>3</v>
      </c>
      <c r="J41" s="6" t="s">
        <v>12</v>
      </c>
      <c r="K41" s="73">
        <f t="shared" ref="K41:K72" si="19">SUMIF(A:A,A41,C:C)</f>
        <v>45</v>
      </c>
      <c r="L41" s="73">
        <f t="shared" ref="L41:L72" si="20">SUMIF(A:A,A41,D:D)</f>
        <v>30</v>
      </c>
      <c r="M41" s="73">
        <f t="shared" ref="M41:M72" si="21">SUMIF(A:A,A41,E:E)+SUMIF(A:A,A41,F:F)</f>
        <v>15</v>
      </c>
      <c r="N41" s="7" t="str">
        <f>IF(O41=""," ",VLOOKUP(O41,'[8]2012 личен състав ОТД'!$A:$AO,2,FALSE))</f>
        <v>проф. дфн Иван Добрев</v>
      </c>
      <c r="O41" s="3" t="s">
        <v>515</v>
      </c>
      <c r="P41" s="7">
        <f>IF(O41=""," ",VLOOKUP(O41,'[8]2012 личен състав ОТД'!$A:$AO,13,FALSE))</f>
        <v>0</v>
      </c>
      <c r="Q41" s="7" t="str">
        <f>IF(O41=""," ",VLOOKUP(O41,'[8]2012 личен състав ОТД'!$A:$AO,12,FALSE))</f>
        <v>ХОН</v>
      </c>
      <c r="R41" s="7" t="s">
        <v>255</v>
      </c>
      <c r="T41" s="7">
        <f t="shared" ca="1" si="18"/>
        <v>2013</v>
      </c>
    </row>
    <row r="42" spans="1:28" x14ac:dyDescent="0.25">
      <c r="B42" s="9">
        <f t="shared" ref="B42:I42" si="22">SUM(B33:B41)</f>
        <v>375</v>
      </c>
      <c r="C42" s="9">
        <f t="shared" si="22"/>
        <v>435</v>
      </c>
      <c r="D42" s="9">
        <f t="shared" si="22"/>
        <v>240</v>
      </c>
      <c r="E42" s="9">
        <f t="shared" si="22"/>
        <v>105</v>
      </c>
      <c r="F42" s="9">
        <f t="shared" si="22"/>
        <v>90</v>
      </c>
      <c r="G42" s="9">
        <f t="shared" si="22"/>
        <v>465</v>
      </c>
      <c r="H42" s="9">
        <f t="shared" si="22"/>
        <v>900</v>
      </c>
      <c r="I42" s="9">
        <f t="shared" si="22"/>
        <v>30</v>
      </c>
      <c r="K42" s="73">
        <f t="shared" si="19"/>
        <v>0</v>
      </c>
      <c r="L42" s="73">
        <f t="shared" si="20"/>
        <v>0</v>
      </c>
      <c r="M42" s="73">
        <f t="shared" si="21"/>
        <v>0</v>
      </c>
      <c r="N42" s="7" t="e">
        <f>IF(O42=""," ",VLOOKUP(O42,'[8]2012 личен състав ОТД'!$A:$AO,2,FALSE))</f>
        <v>#N/A</v>
      </c>
      <c r="O42" s="3" t="str">
        <f>IF(A42=""," ",VLOOKUP(A42,'Български и испански език'!A:O,15,FALSE))</f>
        <v xml:space="preserve"> </v>
      </c>
      <c r="P42" s="7" t="e">
        <f>IF(O42=""," ",VLOOKUP(O42,'[8]2012 личен състав ОТД'!$A:$AO,13,FALSE))</f>
        <v>#N/A</v>
      </c>
      <c r="Q42" s="7" t="e">
        <f>IF(O42=""," ",VLOOKUP(O42,'[8]2012 личен състав ОТД'!$A:$AO,12,FALSE))</f>
        <v>#N/A</v>
      </c>
      <c r="R42" s="7" t="str">
        <f>IF(A42=""," ",VLOOKUP(A42,'Профилиращ лист'!A:B,2,FALSE))</f>
        <v xml:space="preserve"> </v>
      </c>
      <c r="T42" s="7" t="e">
        <f t="shared" ca="1" si="18"/>
        <v>#N/A</v>
      </c>
    </row>
    <row r="43" spans="1:28" x14ac:dyDescent="0.25">
      <c r="A43" s="1" t="s">
        <v>81</v>
      </c>
      <c r="B43" s="1" t="s">
        <v>1</v>
      </c>
      <c r="C43" s="2" t="s">
        <v>2</v>
      </c>
      <c r="D43" s="2" t="s">
        <v>3</v>
      </c>
      <c r="E43" s="2" t="s">
        <v>4</v>
      </c>
      <c r="F43" s="2" t="s">
        <v>5</v>
      </c>
      <c r="G43" s="2" t="s">
        <v>6</v>
      </c>
      <c r="H43" s="2" t="s">
        <v>7</v>
      </c>
      <c r="I43" s="2" t="s">
        <v>8</v>
      </c>
      <c r="J43" s="2" t="s">
        <v>9</v>
      </c>
      <c r="K43" s="73">
        <f t="shared" si="19"/>
        <v>0</v>
      </c>
      <c r="L43" s="73">
        <f t="shared" si="20"/>
        <v>0</v>
      </c>
      <c r="M43" s="73">
        <f t="shared" si="21"/>
        <v>0</v>
      </c>
      <c r="N43" s="7" t="str">
        <f>IF(O43=""," ",VLOOKUP(O43,'[8]2012 личен състав ОТД'!$A:$AO,2,FALSE))</f>
        <v>име, фамилия</v>
      </c>
      <c r="O43" s="3" t="str">
        <f>IF(A43=""," ",VLOOKUP(A43,'Български и испански език'!A:O,15,FALSE))</f>
        <v>Код</v>
      </c>
      <c r="P43" s="7" t="str">
        <f>IF(O43=""," ",VLOOKUP(O43,'[8]2012 личен състав ОТД'!$A:$AO,13,FALSE))</f>
        <v>годинанараждане</v>
      </c>
      <c r="Q43" s="7" t="str">
        <f>IF(O43=""," ",VLOOKUP(O43,'[8]2012 личен състав ОТД'!$A:$AO,12,FALSE))</f>
        <v>ТРУД</v>
      </c>
      <c r="R43" s="7" t="str">
        <f>IF(A43=""," ",VLOOKUP(A43,'Профилиращ лист'!A:B,2,FALSE))</f>
        <v>Тип</v>
      </c>
      <c r="T43" s="7" t="e">
        <f t="shared" ca="1" si="18"/>
        <v>#VALUE!</v>
      </c>
      <c r="AB43" s="7" t="s">
        <v>574</v>
      </c>
    </row>
    <row r="44" spans="1:28" x14ac:dyDescent="0.25">
      <c r="A44" s="1" t="s">
        <v>46</v>
      </c>
      <c r="B44" s="1"/>
      <c r="I44" s="13"/>
      <c r="J44" s="14"/>
      <c r="K44" s="73">
        <f t="shared" si="19"/>
        <v>0</v>
      </c>
      <c r="L44" s="73">
        <f t="shared" si="20"/>
        <v>0</v>
      </c>
      <c r="M44" s="73">
        <f t="shared" si="21"/>
        <v>0</v>
      </c>
      <c r="N44" s="7" t="str">
        <f>IF(O44=""," ",VLOOKUP(O44,'[8]2012 личен състав ОТД'!$A:$AO,2,FALSE))</f>
        <v xml:space="preserve">   </v>
      </c>
      <c r="O44" s="3">
        <f>IF(A44=""," ",VLOOKUP(A44,'Български и испански език'!A:O,15,FALSE))</f>
        <v>0</v>
      </c>
      <c r="P44" s="7">
        <f>IF(O44=""," ",VLOOKUP(O44,'[8]2012 личен състав ОТД'!$A:$AO,13,FALSE))</f>
        <v>0</v>
      </c>
      <c r="Q44" s="7">
        <f>IF(O44=""," ",VLOOKUP(O44,'[8]2012 личен състав ОТД'!$A:$AO,12,FALSE))</f>
        <v>0</v>
      </c>
      <c r="R44" s="7" t="e">
        <f>IF(A44=""," ",VLOOKUP(A44,'Профилиращ лист'!A:B,2,FALSE))</f>
        <v>#N/A</v>
      </c>
      <c r="T44" s="7">
        <f t="shared" ca="1" si="18"/>
        <v>2013</v>
      </c>
    </row>
    <row r="45" spans="1:28" x14ac:dyDescent="0.25">
      <c r="A45" s="8" t="s">
        <v>39</v>
      </c>
      <c r="B45" s="4">
        <v>30</v>
      </c>
      <c r="C45" s="4">
        <v>60</v>
      </c>
      <c r="D45" s="4">
        <v>30</v>
      </c>
      <c r="E45" s="4">
        <v>30</v>
      </c>
      <c r="F45" s="4">
        <v>0</v>
      </c>
      <c r="G45" s="4">
        <f t="shared" ref="G45:G54" si="23">H45-C45</f>
        <v>60</v>
      </c>
      <c r="H45" s="4">
        <f t="shared" ref="H45:H54" si="24">I45*30</f>
        <v>120</v>
      </c>
      <c r="I45" s="4">
        <v>4</v>
      </c>
      <c r="J45" s="4" t="s">
        <v>12</v>
      </c>
      <c r="K45" s="73">
        <f t="shared" si="19"/>
        <v>105</v>
      </c>
      <c r="L45" s="73">
        <f t="shared" si="20"/>
        <v>60</v>
      </c>
      <c r="M45" s="73">
        <f t="shared" si="21"/>
        <v>45</v>
      </c>
      <c r="N45" s="7" t="str">
        <f>IF(O45=""," ",VLOOKUP(O45,'[8]2012 личен състав ОТД'!$A:$AO,2,FALSE))</f>
        <v>доц. д-р Светла Черпокова-Захариева</v>
      </c>
      <c r="O45" s="3" t="s">
        <v>472</v>
      </c>
      <c r="P45" s="7">
        <f>IF(O45=""," ",VLOOKUP(O45,'[8]2012 личен състав ОТД'!$A:$AO,13,FALSE))</f>
        <v>1967</v>
      </c>
      <c r="Q45" s="7" t="str">
        <f>IF(O45=""," ",VLOOKUP(O45,'[8]2012 личен състав ОТД'!$A:$AO,12,FALSE))</f>
        <v>ОТД</v>
      </c>
      <c r="R45" s="7" t="str">
        <f>IF(A45=""," ",VLOOKUP(A45,'Профилиращ лист'!A:B,2,FALSE))</f>
        <v>СПЕ</v>
      </c>
      <c r="T45" s="7">
        <f t="shared" ca="1" si="18"/>
        <v>46</v>
      </c>
    </row>
    <row r="46" spans="1:28" x14ac:dyDescent="0.25">
      <c r="A46" s="8" t="s">
        <v>47</v>
      </c>
      <c r="B46" s="4">
        <v>30</v>
      </c>
      <c r="C46" s="4">
        <v>30</v>
      </c>
      <c r="D46" s="4">
        <v>30</v>
      </c>
      <c r="E46" s="4">
        <v>0</v>
      </c>
      <c r="F46" s="4">
        <v>0</v>
      </c>
      <c r="G46" s="4">
        <f t="shared" si="23"/>
        <v>60</v>
      </c>
      <c r="H46" s="4">
        <f t="shared" si="24"/>
        <v>90</v>
      </c>
      <c r="I46" s="4">
        <v>3</v>
      </c>
      <c r="J46" s="4" t="s">
        <v>14</v>
      </c>
      <c r="K46" s="73">
        <f t="shared" si="19"/>
        <v>90</v>
      </c>
      <c r="L46" s="73">
        <f t="shared" si="20"/>
        <v>60</v>
      </c>
      <c r="M46" s="73">
        <f t="shared" si="21"/>
        <v>30</v>
      </c>
      <c r="N46" s="7" t="str">
        <f>IF(O46=""," ",VLOOKUP(O46,'[8]2012 личен състав ОТД'!$A:$AO,2,FALSE))</f>
        <v xml:space="preserve">   </v>
      </c>
      <c r="O46" s="3">
        <f>IF(A46=""," ",VLOOKUP(A46,'Български и испански език'!A:O,15,FALSE))</f>
        <v>0</v>
      </c>
      <c r="P46" s="7">
        <f>IF(O46=""," ",VLOOKUP(O46,'[8]2012 личен състав ОТД'!$A:$AO,13,FALSE))</f>
        <v>0</v>
      </c>
      <c r="Q46" s="7">
        <f>IF(O46=""," ",VLOOKUP(O46,'[8]2012 личен състав ОТД'!$A:$AO,12,FALSE))</f>
        <v>0</v>
      </c>
      <c r="R46" s="7" t="str">
        <f>IF(A46=""," ",VLOOKUP(A46,'Профилиращ лист'!A:B,2,FALSE))</f>
        <v>СПЕ</v>
      </c>
      <c r="T46" s="7">
        <f t="shared" ca="1" si="18"/>
        <v>2013</v>
      </c>
    </row>
    <row r="47" spans="1:28" x14ac:dyDescent="0.25">
      <c r="A47" s="8" t="s">
        <v>188</v>
      </c>
      <c r="B47" s="4">
        <v>30</v>
      </c>
      <c r="C47" s="4">
        <v>30</v>
      </c>
      <c r="D47" s="4">
        <v>15</v>
      </c>
      <c r="E47" s="4">
        <v>15</v>
      </c>
      <c r="F47" s="4">
        <v>0</v>
      </c>
      <c r="G47" s="4">
        <f t="shared" si="23"/>
        <v>30</v>
      </c>
      <c r="H47" s="4">
        <f t="shared" si="24"/>
        <v>60</v>
      </c>
      <c r="I47" s="4">
        <v>2</v>
      </c>
      <c r="J47" s="4" t="s">
        <v>12</v>
      </c>
      <c r="K47" s="73">
        <f t="shared" si="19"/>
        <v>60</v>
      </c>
      <c r="L47" s="73">
        <f t="shared" si="20"/>
        <v>30</v>
      </c>
      <c r="M47" s="73">
        <f t="shared" si="21"/>
        <v>30</v>
      </c>
      <c r="N47" s="7" t="str">
        <f>IF(O47=""," ",VLOOKUP(O47,'[8]2012 личен състав ОТД'!$A:$AO,2,FALSE))</f>
        <v>доц. д-р Аднан Карагюл</v>
      </c>
      <c r="O47" s="3" t="s">
        <v>516</v>
      </c>
      <c r="P47" s="7">
        <f>IF(O47=""," ",VLOOKUP(O47,'[8]2012 личен състав ОТД'!$A:$AO,13,FALSE))</f>
        <v>0</v>
      </c>
      <c r="Q47" s="7" t="str">
        <f>IF(O47=""," ",VLOOKUP(O47,'[8]2012 личен състав ОТД'!$A:$AO,12,FALSE))</f>
        <v>ХОН</v>
      </c>
      <c r="R47" s="7" t="s">
        <v>255</v>
      </c>
      <c r="T47" s="7">
        <f t="shared" ca="1" si="18"/>
        <v>2013</v>
      </c>
    </row>
    <row r="48" spans="1:28" x14ac:dyDescent="0.25">
      <c r="A48" s="8" t="s">
        <v>49</v>
      </c>
      <c r="B48" s="4">
        <v>45</v>
      </c>
      <c r="C48" s="4">
        <v>30</v>
      </c>
      <c r="D48" s="4">
        <v>30</v>
      </c>
      <c r="E48" s="4">
        <v>0</v>
      </c>
      <c r="F48" s="4">
        <v>0</v>
      </c>
      <c r="G48" s="4">
        <f t="shared" si="23"/>
        <v>30</v>
      </c>
      <c r="H48" s="4">
        <f t="shared" si="24"/>
        <v>60</v>
      </c>
      <c r="I48" s="4">
        <v>2</v>
      </c>
      <c r="J48" s="4" t="s">
        <v>14</v>
      </c>
      <c r="K48" s="73">
        <f t="shared" si="19"/>
        <v>75</v>
      </c>
      <c r="L48" s="73">
        <f t="shared" si="20"/>
        <v>60</v>
      </c>
      <c r="M48" s="73">
        <f t="shared" si="21"/>
        <v>15</v>
      </c>
      <c r="N48" s="7" t="str">
        <f>IF(O48=""," ",VLOOKUP(O48,'[8]2012 личен състав ОТД'!$A:$AO,2,FALSE))</f>
        <v xml:space="preserve">   </v>
      </c>
      <c r="O48" s="3">
        <f>IF(A48=""," ",VLOOKUP(A48,'Български и испански език'!A:O,15,FALSE))</f>
        <v>0</v>
      </c>
      <c r="P48" s="7">
        <f>IF(O48=""," ",VLOOKUP(O48,'[8]2012 личен състав ОТД'!$A:$AO,13,FALSE))</f>
        <v>0</v>
      </c>
      <c r="Q48" s="7">
        <f>IF(O48=""," ",VLOOKUP(O48,'[8]2012 личен състав ОТД'!$A:$AO,12,FALSE))</f>
        <v>0</v>
      </c>
      <c r="R48" s="7" t="str">
        <f>IF(A48=""," ",VLOOKUP(A48,'Профилиращ лист'!A:B,2,FALSE))</f>
        <v>ОФД</v>
      </c>
      <c r="T48" s="7">
        <f t="shared" ca="1" si="18"/>
        <v>2013</v>
      </c>
    </row>
    <row r="49" spans="1:189" x14ac:dyDescent="0.25">
      <c r="A49" s="8" t="s">
        <v>191</v>
      </c>
      <c r="B49" s="4">
        <v>30</v>
      </c>
      <c r="C49" s="4">
        <v>30</v>
      </c>
      <c r="D49" s="4">
        <v>30</v>
      </c>
      <c r="E49" s="4">
        <v>0</v>
      </c>
      <c r="F49" s="4">
        <v>0</v>
      </c>
      <c r="G49" s="4">
        <f t="shared" si="23"/>
        <v>30</v>
      </c>
      <c r="H49" s="4">
        <f t="shared" si="24"/>
        <v>60</v>
      </c>
      <c r="I49" s="4">
        <v>2</v>
      </c>
      <c r="J49" s="4" t="s">
        <v>12</v>
      </c>
      <c r="K49" s="73">
        <f t="shared" si="19"/>
        <v>30</v>
      </c>
      <c r="L49" s="73">
        <f t="shared" si="20"/>
        <v>30</v>
      </c>
      <c r="M49" s="73">
        <f t="shared" si="21"/>
        <v>0</v>
      </c>
      <c r="N49" s="7" t="str">
        <f>IF(O49=""," ",VLOOKUP(O49,'[8]2012 личен състав ОТД'!$A:$AO,2,FALSE))</f>
        <v>доц. д-р Паша Явузаслан</v>
      </c>
      <c r="O49" s="3" t="s">
        <v>517</v>
      </c>
      <c r="P49" s="7">
        <f>IF(O49=""," ",VLOOKUP(O49,'[8]2012 личен състав ОТД'!$A:$AO,13,FALSE))</f>
        <v>0</v>
      </c>
      <c r="Q49" s="7" t="str">
        <f>IF(O49=""," ",VLOOKUP(O49,'[8]2012 личен състав ОТД'!$A:$AO,12,FALSE))</f>
        <v>ХОН</v>
      </c>
      <c r="R49" s="7" t="s">
        <v>253</v>
      </c>
      <c r="T49" s="7">
        <f t="shared" ca="1" si="18"/>
        <v>2013</v>
      </c>
    </row>
    <row r="50" spans="1:189" x14ac:dyDescent="0.25">
      <c r="A50" s="8" t="s">
        <v>64</v>
      </c>
      <c r="B50" s="4">
        <v>15</v>
      </c>
      <c r="C50" s="4">
        <v>15</v>
      </c>
      <c r="D50" s="4">
        <v>15</v>
      </c>
      <c r="E50" s="4">
        <v>0</v>
      </c>
      <c r="F50" s="4">
        <v>0</v>
      </c>
      <c r="G50" s="4">
        <f t="shared" si="23"/>
        <v>75</v>
      </c>
      <c r="H50" s="4">
        <f t="shared" si="24"/>
        <v>90</v>
      </c>
      <c r="I50" s="4">
        <v>3</v>
      </c>
      <c r="J50" s="4" t="s">
        <v>12</v>
      </c>
      <c r="K50" s="73">
        <f t="shared" si="19"/>
        <v>15</v>
      </c>
      <c r="L50" s="73">
        <f t="shared" si="20"/>
        <v>15</v>
      </c>
      <c r="M50" s="73">
        <f t="shared" si="21"/>
        <v>0</v>
      </c>
      <c r="N50" s="7" t="str">
        <f>IF(O50=""," ",VLOOKUP(O50,'[8]2012 личен състав ОТД'!$A:$AO,2,FALSE))</f>
        <v>доц. д-р Соня Спилкова</v>
      </c>
      <c r="O50" s="3" t="s">
        <v>477</v>
      </c>
      <c r="P50" s="7">
        <f>IF(O50=""," ",VLOOKUP(O50,'[8]2012 личен състав ОТД'!$A:$AO,13,FALSE))</f>
        <v>1952</v>
      </c>
      <c r="Q50" s="7" t="str">
        <f>IF(O50=""," ",VLOOKUP(O50,'[8]2012 личен състав ОТД'!$A:$AO,12,FALSE))</f>
        <v>ОТД</v>
      </c>
      <c r="R50" s="7" t="str">
        <f>IF(A50=""," ",VLOOKUP(A50,'Профилиращ лист'!A:B,2,FALSE))</f>
        <v>ПЕД</v>
      </c>
      <c r="T50" s="7">
        <f t="shared" ca="1" si="18"/>
        <v>61</v>
      </c>
      <c r="GG50" s="7">
        <f ca="1">SUM(C50:GF50)</f>
        <v>2241</v>
      </c>
    </row>
    <row r="51" spans="1:189" x14ac:dyDescent="0.25">
      <c r="A51" s="8" t="s">
        <v>65</v>
      </c>
      <c r="B51" s="4">
        <v>15</v>
      </c>
      <c r="C51" s="4">
        <v>15</v>
      </c>
      <c r="D51" s="4">
        <v>15</v>
      </c>
      <c r="E51" s="4">
        <v>0</v>
      </c>
      <c r="F51" s="4">
        <v>0</v>
      </c>
      <c r="G51" s="4">
        <f t="shared" si="23"/>
        <v>75</v>
      </c>
      <c r="H51" s="4">
        <f t="shared" si="24"/>
        <v>90</v>
      </c>
      <c r="I51" s="4">
        <v>3</v>
      </c>
      <c r="J51" s="4" t="s">
        <v>12</v>
      </c>
      <c r="K51" s="73">
        <f t="shared" si="19"/>
        <v>15</v>
      </c>
      <c r="L51" s="73">
        <f t="shared" si="20"/>
        <v>15</v>
      </c>
      <c r="M51" s="73">
        <f t="shared" si="21"/>
        <v>0</v>
      </c>
      <c r="N51" s="7" t="str">
        <f>IF(O51=""," ",VLOOKUP(O51,'[8]2012 личен състав ОТД'!$A:$AO,2,FALSE))</f>
        <v>доц. д-р Пенка Гарушева-Карамалакова</v>
      </c>
      <c r="O51" s="3" t="str">
        <f>IF(A51=""," ",VLOOKUP(A51,'Български и испански език'!A:O,15,FALSE))</f>
        <v>гарушева</v>
      </c>
      <c r="P51" s="7">
        <f>IF(O51=""," ",VLOOKUP(O51,'[8]2012 личен състав ОТД'!$A:$AO,13,FALSE))</f>
        <v>1947</v>
      </c>
      <c r="Q51" s="7" t="str">
        <f>IF(O51=""," ",VLOOKUP(O51,'[8]2012 личен състав ОТД'!$A:$AO,12,FALSE))</f>
        <v>ОТД</v>
      </c>
      <c r="R51" s="7" t="str">
        <f>IF(A51=""," ",VLOOKUP(A51,'Профилиращ лист'!A:B,2,FALSE))</f>
        <v>ПЕД</v>
      </c>
      <c r="T51" s="7">
        <f t="shared" ca="1" si="18"/>
        <v>66</v>
      </c>
    </row>
    <row r="52" spans="1:189" x14ac:dyDescent="0.25">
      <c r="A52" s="8" t="s">
        <v>185</v>
      </c>
      <c r="B52" s="4">
        <v>90</v>
      </c>
      <c r="C52" s="4">
        <v>105</v>
      </c>
      <c r="D52" s="4">
        <v>0</v>
      </c>
      <c r="E52" s="4">
        <v>0</v>
      </c>
      <c r="F52" s="4">
        <v>105</v>
      </c>
      <c r="G52" s="4">
        <f t="shared" si="23"/>
        <v>75</v>
      </c>
      <c r="H52" s="4">
        <f t="shared" si="24"/>
        <v>180</v>
      </c>
      <c r="I52" s="4">
        <v>6</v>
      </c>
      <c r="J52" s="4" t="s">
        <v>14</v>
      </c>
      <c r="K52" s="73">
        <f t="shared" si="19"/>
        <v>555</v>
      </c>
      <c r="L52" s="73">
        <f t="shared" si="20"/>
        <v>0</v>
      </c>
      <c r="M52" s="73">
        <f t="shared" si="21"/>
        <v>555</v>
      </c>
      <c r="N52" s="7" t="e">
        <f>IF(O52=""," ",VLOOKUP(O52,'[8]2012 личен състав ОТД'!$A:$AO,2,FALSE))</f>
        <v>#N/A</v>
      </c>
      <c r="O52" s="3" t="e">
        <f>IF(A52=""," ",VLOOKUP(A52,'Български и испански език'!A:O,15,FALSE))</f>
        <v>#N/A</v>
      </c>
      <c r="P52" s="7" t="e">
        <f>IF(O52=""," ",VLOOKUP(O52,'[8]2012 личен състав ОТД'!$A:$AO,13,FALSE))</f>
        <v>#N/A</v>
      </c>
      <c r="Q52" s="7" t="e">
        <f>IF(O52=""," ",VLOOKUP(O52,'[8]2012 личен състав ОТД'!$A:$AO,12,FALSE))</f>
        <v>#N/A</v>
      </c>
      <c r="R52" s="7" t="e">
        <f>IF(A52=""," ",VLOOKUP(A52,'Профилиращ лист'!A:B,2,FALSE))</f>
        <v>#N/A</v>
      </c>
      <c r="T52" s="7" t="e">
        <f t="shared" ca="1" si="18"/>
        <v>#N/A</v>
      </c>
    </row>
    <row r="53" spans="1:189" x14ac:dyDescent="0.25">
      <c r="A53" s="8" t="s">
        <v>44</v>
      </c>
      <c r="B53" s="4">
        <v>45</v>
      </c>
      <c r="C53" s="4">
        <v>45</v>
      </c>
      <c r="D53" s="4">
        <v>30</v>
      </c>
      <c r="E53" s="4">
        <v>15</v>
      </c>
      <c r="F53" s="4">
        <v>0</v>
      </c>
      <c r="G53" s="4">
        <f t="shared" si="23"/>
        <v>45</v>
      </c>
      <c r="H53" s="4">
        <f t="shared" si="24"/>
        <v>90</v>
      </c>
      <c r="I53" s="4">
        <v>3</v>
      </c>
      <c r="J53" s="4" t="s">
        <v>12</v>
      </c>
      <c r="K53" s="73">
        <f t="shared" si="19"/>
        <v>90</v>
      </c>
      <c r="L53" s="73">
        <f t="shared" si="20"/>
        <v>60</v>
      </c>
      <c r="M53" s="73">
        <f t="shared" si="21"/>
        <v>30</v>
      </c>
      <c r="N53" s="7" t="str">
        <f>IF(O53=""," ",VLOOKUP(O53,'[8]2012 личен състав ОТД'!$A:$AO,2,FALSE))</f>
        <v>доц. д-р Константин Куцаров</v>
      </c>
      <c r="O53" s="3" t="s">
        <v>491</v>
      </c>
      <c r="P53" s="7">
        <f>IF(O53=""," ",VLOOKUP(O53,'[8]2012 личен състав ОТД'!$A:$AO,13,FALSE))</f>
        <v>1968</v>
      </c>
      <c r="Q53" s="7" t="str">
        <f>IF(O53=""," ",VLOOKUP(O53,'[8]2012 личен състав ОТД'!$A:$AO,12,FALSE))</f>
        <v>ОТД</v>
      </c>
      <c r="R53" s="7" t="str">
        <f>IF(A53=""," ",VLOOKUP(A53,'Профилиращ лист'!A:B,2,FALSE))</f>
        <v>СПЕ</v>
      </c>
      <c r="T53" s="7">
        <f t="shared" ca="1" si="18"/>
        <v>45</v>
      </c>
    </row>
    <row r="54" spans="1:189" x14ac:dyDescent="0.25">
      <c r="A54" s="8" t="s">
        <v>189</v>
      </c>
      <c r="B54" s="4">
        <v>30</v>
      </c>
      <c r="C54" s="4">
        <v>30</v>
      </c>
      <c r="D54" s="4">
        <v>15</v>
      </c>
      <c r="E54" s="4">
        <v>15</v>
      </c>
      <c r="F54" s="4">
        <v>0</v>
      </c>
      <c r="G54" s="4">
        <f t="shared" si="23"/>
        <v>30</v>
      </c>
      <c r="H54" s="4">
        <f t="shared" si="24"/>
        <v>60</v>
      </c>
      <c r="I54" s="4">
        <v>2</v>
      </c>
      <c r="J54" s="4" t="s">
        <v>12</v>
      </c>
      <c r="K54" s="73">
        <f t="shared" si="19"/>
        <v>60</v>
      </c>
      <c r="L54" s="73">
        <f t="shared" si="20"/>
        <v>30</v>
      </c>
      <c r="M54" s="73">
        <f t="shared" si="21"/>
        <v>30</v>
      </c>
      <c r="N54" s="7" t="str">
        <f>IF(O54=""," ",VLOOKUP(O54,'[8]2012 личен състав ОТД'!$A:$AO,2,FALSE))</f>
        <v>проф. дфн Иван Добрев</v>
      </c>
      <c r="O54" s="3" t="s">
        <v>515</v>
      </c>
      <c r="P54" s="7">
        <f>IF(O54=""," ",VLOOKUP(O54,'[8]2012 личен състав ОТД'!$A:$AO,13,FALSE))</f>
        <v>0</v>
      </c>
      <c r="Q54" s="7" t="str">
        <f>IF(O54=""," ",VLOOKUP(O54,'[8]2012 личен състав ОТД'!$A:$AO,12,FALSE))</f>
        <v>ХОН</v>
      </c>
      <c r="R54" s="7" t="s">
        <v>255</v>
      </c>
      <c r="T54" s="7">
        <f t="shared" ca="1" si="18"/>
        <v>2013</v>
      </c>
    </row>
    <row r="55" spans="1:189" x14ac:dyDescent="0.25">
      <c r="B55" s="9">
        <f t="shared" ref="B55:I55" si="25">SUM(B45:B54)</f>
        <v>360</v>
      </c>
      <c r="C55" s="9">
        <f t="shared" si="25"/>
        <v>390</v>
      </c>
      <c r="D55" s="9">
        <f t="shared" si="25"/>
        <v>210</v>
      </c>
      <c r="E55" s="9">
        <f t="shared" si="25"/>
        <v>75</v>
      </c>
      <c r="F55" s="9">
        <f t="shared" si="25"/>
        <v>105</v>
      </c>
      <c r="G55" s="9">
        <f t="shared" si="25"/>
        <v>510</v>
      </c>
      <c r="H55" s="9">
        <f t="shared" si="25"/>
        <v>900</v>
      </c>
      <c r="I55" s="9">
        <f t="shared" si="25"/>
        <v>30</v>
      </c>
      <c r="J55" s="6"/>
      <c r="K55" s="73">
        <f t="shared" si="19"/>
        <v>0</v>
      </c>
      <c r="L55" s="73">
        <f t="shared" si="20"/>
        <v>0</v>
      </c>
      <c r="M55" s="73">
        <f t="shared" si="21"/>
        <v>0</v>
      </c>
      <c r="N55" s="7" t="e">
        <f>IF(O55=""," ",VLOOKUP(O55,'[8]2012 личен състав ОТД'!$A:$AO,2,FALSE))</f>
        <v>#N/A</v>
      </c>
      <c r="O55" s="3" t="str">
        <f>IF(A55=""," ",VLOOKUP(A55,'Български и испански език'!A:O,15,FALSE))</f>
        <v xml:space="preserve"> </v>
      </c>
      <c r="P55" s="7" t="e">
        <f>IF(O55=""," ",VLOOKUP(O55,'[8]2012 личен състав ОТД'!$A:$AO,13,FALSE))</f>
        <v>#N/A</v>
      </c>
      <c r="Q55" s="7" t="e">
        <f>IF(O55=""," ",VLOOKUP(O55,'[8]2012 личен състав ОТД'!$A:$AO,12,FALSE))</f>
        <v>#N/A</v>
      </c>
      <c r="R55" s="7" t="str">
        <f>IF(A55=""," ",VLOOKUP(A55,'Профилиращ лист'!A:B,2,FALSE))</f>
        <v xml:space="preserve"> </v>
      </c>
      <c r="T55" s="7" t="e">
        <f t="shared" ca="1" si="18"/>
        <v>#N/A</v>
      </c>
      <c r="GG55" s="7" t="e">
        <f>SUM(C55:GF55)</f>
        <v>#N/A</v>
      </c>
    </row>
    <row r="56" spans="1:189" x14ac:dyDescent="0.25">
      <c r="A56" s="1" t="s">
        <v>51</v>
      </c>
      <c r="B56" s="1"/>
      <c r="J56" s="14"/>
      <c r="K56" s="73">
        <f t="shared" si="19"/>
        <v>0</v>
      </c>
      <c r="L56" s="73">
        <f t="shared" si="20"/>
        <v>0</v>
      </c>
      <c r="M56" s="73">
        <f t="shared" si="21"/>
        <v>0</v>
      </c>
      <c r="N56" s="7" t="str">
        <f>IF(O56=""," ",VLOOKUP(O56,'[8]2012 личен състав ОТД'!$A:$AO,2,FALSE))</f>
        <v xml:space="preserve">   </v>
      </c>
      <c r="O56" s="3">
        <f>IF(A56=""," ",VLOOKUP(A56,'Български и испански език'!A:O,15,FALSE))</f>
        <v>0</v>
      </c>
      <c r="P56" s="7">
        <f>IF(O56=""," ",VLOOKUP(O56,'[8]2012 личен състав ОТД'!$A:$AO,13,FALSE))</f>
        <v>0</v>
      </c>
      <c r="Q56" s="7">
        <f>IF(O56=""," ",VLOOKUP(O56,'[8]2012 личен състав ОТД'!$A:$AO,12,FALSE))</f>
        <v>0</v>
      </c>
      <c r="R56" s="7" t="e">
        <f>IF(A56=""," ",VLOOKUP(A56,'Профилиращ лист'!A:B,2,FALSE))</f>
        <v>#N/A</v>
      </c>
      <c r="T56" s="7">
        <f t="shared" ca="1" si="18"/>
        <v>2013</v>
      </c>
    </row>
    <row r="57" spans="1:189" x14ac:dyDescent="0.25">
      <c r="A57" s="8" t="s">
        <v>47</v>
      </c>
      <c r="B57" s="4">
        <v>45</v>
      </c>
      <c r="C57" s="4">
        <f>D57+E57+F57</f>
        <v>60</v>
      </c>
      <c r="D57" s="4">
        <v>30</v>
      </c>
      <c r="E57" s="4">
        <v>30</v>
      </c>
      <c r="F57" s="4">
        <v>0</v>
      </c>
      <c r="G57" s="4">
        <f t="shared" ref="G57:G64" si="26">H57-C57</f>
        <v>90</v>
      </c>
      <c r="H57" s="4">
        <f t="shared" ref="H57:H64" si="27">I57*30</f>
        <v>150</v>
      </c>
      <c r="I57" s="4">
        <v>5</v>
      </c>
      <c r="J57" s="4" t="s">
        <v>12</v>
      </c>
      <c r="K57" s="73">
        <f t="shared" si="19"/>
        <v>90</v>
      </c>
      <c r="L57" s="73">
        <f t="shared" si="20"/>
        <v>60</v>
      </c>
      <c r="M57" s="73">
        <f t="shared" si="21"/>
        <v>30</v>
      </c>
      <c r="N57" s="7" t="str">
        <f>IF(O57=""," ",VLOOKUP(O57,'[8]2012 личен състав ОТД'!$A:$AO,2,FALSE))</f>
        <v>доц. д-р Иван Русков</v>
      </c>
      <c r="O57" s="3" t="s">
        <v>492</v>
      </c>
      <c r="P57" s="7">
        <f>IF(O57=""," ",VLOOKUP(O57,'[8]2012 личен състав ОТД'!$A:$AO,13,FALSE))</f>
        <v>1960</v>
      </c>
      <c r="Q57" s="7" t="str">
        <f>IF(O57=""," ",VLOOKUP(O57,'[8]2012 личен състав ОТД'!$A:$AO,12,FALSE))</f>
        <v>ОТД</v>
      </c>
      <c r="R57" s="7" t="str">
        <f>IF(A57=""," ",VLOOKUP(A57,'Профилиращ лист'!A:B,2,FALSE))</f>
        <v>СПЕ</v>
      </c>
      <c r="T57" s="7">
        <f t="shared" ca="1" si="18"/>
        <v>53</v>
      </c>
      <c r="GG57" s="7">
        <f ca="1">SUM(K57:GF57)</f>
        <v>2193</v>
      </c>
    </row>
    <row r="58" spans="1:189" x14ac:dyDescent="0.25">
      <c r="A58" s="8" t="s">
        <v>192</v>
      </c>
      <c r="B58" s="8">
        <v>45</v>
      </c>
      <c r="C58" s="4">
        <v>30</v>
      </c>
      <c r="D58" s="4">
        <v>30</v>
      </c>
      <c r="E58" s="4">
        <v>0</v>
      </c>
      <c r="F58" s="4">
        <f>C58-D58-E58</f>
        <v>0</v>
      </c>
      <c r="G58" s="4">
        <f t="shared" si="26"/>
        <v>60</v>
      </c>
      <c r="H58" s="4">
        <f t="shared" si="27"/>
        <v>90</v>
      </c>
      <c r="I58" s="5">
        <v>3</v>
      </c>
      <c r="J58" s="6" t="s">
        <v>18</v>
      </c>
      <c r="K58" s="73">
        <f t="shared" si="19"/>
        <v>30</v>
      </c>
      <c r="L58" s="73">
        <f t="shared" si="20"/>
        <v>30</v>
      </c>
      <c r="M58" s="73">
        <f t="shared" si="21"/>
        <v>0</v>
      </c>
      <c r="N58" s="7" t="str">
        <f>IF(O58=""," ",VLOOKUP(O58,'[8]2012 личен състав ОТД'!$A:$AO,2,FALSE))</f>
        <v>доц. д-р Ирина Чонгарова</v>
      </c>
      <c r="O58" s="3" t="s">
        <v>518</v>
      </c>
      <c r="P58" s="7">
        <f>IF(O58=""," ",VLOOKUP(O58,'[8]2012 личен състав ОТД'!$A:$AO,13,FALSE))</f>
        <v>1962</v>
      </c>
      <c r="Q58" s="7" t="str">
        <f>IF(O58=""," ",VLOOKUP(O58,'[8]2012 личен състав ОТД'!$A:$AO,12,FALSE))</f>
        <v>ОТД</v>
      </c>
      <c r="R58" s="7" t="s">
        <v>265</v>
      </c>
      <c r="T58" s="7">
        <f t="shared" ca="1" si="18"/>
        <v>51</v>
      </c>
      <c r="GG58" s="7">
        <f ca="1">SUM(K58:GF58)</f>
        <v>2073</v>
      </c>
    </row>
    <row r="59" spans="1:189" x14ac:dyDescent="0.25">
      <c r="A59" s="8" t="s">
        <v>49</v>
      </c>
      <c r="B59" s="4">
        <v>45</v>
      </c>
      <c r="C59" s="4">
        <v>45</v>
      </c>
      <c r="D59" s="4">
        <v>30</v>
      </c>
      <c r="E59" s="4">
        <v>15</v>
      </c>
      <c r="F59" s="4">
        <v>0</v>
      </c>
      <c r="G59" s="4">
        <f t="shared" si="26"/>
        <v>75</v>
      </c>
      <c r="H59" s="4">
        <f t="shared" si="27"/>
        <v>120</v>
      </c>
      <c r="I59" s="4">
        <v>4</v>
      </c>
      <c r="J59" s="4" t="s">
        <v>12</v>
      </c>
      <c r="K59" s="73">
        <f t="shared" si="19"/>
        <v>75</v>
      </c>
      <c r="L59" s="73">
        <f t="shared" si="20"/>
        <v>60</v>
      </c>
      <c r="M59" s="73">
        <f t="shared" si="21"/>
        <v>15</v>
      </c>
      <c r="N59" s="7" t="str">
        <f>IF(O59=""," ",VLOOKUP(O59,'[8]2012 личен състав ОТД'!$A:$AO,2,FALSE))</f>
        <v>доц. д-р Христина Тончева</v>
      </c>
      <c r="O59" s="3" t="s">
        <v>461</v>
      </c>
      <c r="P59" s="7">
        <f>IF(O59=""," ",VLOOKUP(O59,'[8]2012 личен състав ОТД'!$A:$AO,13,FALSE))</f>
        <v>1968</v>
      </c>
      <c r="Q59" s="7" t="str">
        <f>IF(O59=""," ",VLOOKUP(O59,'[8]2012 личен състав ОТД'!$A:$AO,12,FALSE))</f>
        <v>ОТД</v>
      </c>
      <c r="R59" s="7" t="str">
        <f>IF(A59=""," ",VLOOKUP(A59,'Профилиращ лист'!A:B,2,FALSE))</f>
        <v>ОФД</v>
      </c>
      <c r="T59" s="7">
        <f t="shared" ca="1" si="18"/>
        <v>45</v>
      </c>
      <c r="GG59" s="7">
        <f ca="1">SUM(C59:GF59)</f>
        <v>2452</v>
      </c>
    </row>
    <row r="60" spans="1:189" x14ac:dyDescent="0.25">
      <c r="A60" s="8" t="s">
        <v>193</v>
      </c>
      <c r="B60" s="4">
        <v>45</v>
      </c>
      <c r="C60" s="4">
        <v>30</v>
      </c>
      <c r="D60" s="4">
        <v>30</v>
      </c>
      <c r="E60" s="4">
        <v>0</v>
      </c>
      <c r="F60" s="4">
        <v>0</v>
      </c>
      <c r="G60" s="4">
        <f t="shared" si="26"/>
        <v>60</v>
      </c>
      <c r="H60" s="4">
        <f t="shared" si="27"/>
        <v>90</v>
      </c>
      <c r="I60" s="4">
        <v>3</v>
      </c>
      <c r="J60" s="6" t="s">
        <v>12</v>
      </c>
      <c r="K60" s="73">
        <f t="shared" si="19"/>
        <v>30</v>
      </c>
      <c r="L60" s="73">
        <f t="shared" si="20"/>
        <v>30</v>
      </c>
      <c r="M60" s="73">
        <f t="shared" si="21"/>
        <v>0</v>
      </c>
      <c r="N60" s="7" t="str">
        <f>IF(O60=""," ",VLOOKUP(O60,'[8]2012 личен състав ОТД'!$A:$AO,2,FALSE))</f>
        <v>гл. ас. д-р Иванка Гайдаджиева</v>
      </c>
      <c r="O60" s="3" t="s">
        <v>467</v>
      </c>
      <c r="P60" s="7">
        <f>IF(O60=""," ",VLOOKUP(O60,'[8]2012 личен състав ОТД'!$A:$AO,13,FALSE))</f>
        <v>1958</v>
      </c>
      <c r="Q60" s="7" t="str">
        <f>IF(O60=""," ",VLOOKUP(O60,'[8]2012 личен състав ОТД'!$A:$AO,12,FALSE))</f>
        <v>ОТД</v>
      </c>
      <c r="R60" s="7" t="s">
        <v>265</v>
      </c>
      <c r="T60" s="7">
        <f t="shared" ca="1" si="18"/>
        <v>55</v>
      </c>
    </row>
    <row r="61" spans="1:189" x14ac:dyDescent="0.25">
      <c r="A61" s="8" t="s">
        <v>194</v>
      </c>
      <c r="B61" s="4">
        <v>90</v>
      </c>
      <c r="C61" s="4">
        <v>105</v>
      </c>
      <c r="D61" s="4">
        <v>0</v>
      </c>
      <c r="E61" s="4">
        <v>0</v>
      </c>
      <c r="F61" s="4">
        <v>105</v>
      </c>
      <c r="G61" s="4">
        <f t="shared" si="26"/>
        <v>105</v>
      </c>
      <c r="H61" s="4">
        <f t="shared" si="27"/>
        <v>210</v>
      </c>
      <c r="I61" s="4">
        <v>7</v>
      </c>
      <c r="J61" s="4" t="s">
        <v>12</v>
      </c>
      <c r="K61" s="73">
        <f t="shared" si="19"/>
        <v>105</v>
      </c>
      <c r="L61" s="73">
        <f t="shared" si="20"/>
        <v>0</v>
      </c>
      <c r="M61" s="73">
        <f t="shared" si="21"/>
        <v>105</v>
      </c>
      <c r="N61" s="7" t="e">
        <f>IF(O61=""," ",VLOOKUP(O61,'[8]2012 личен състав ОТД'!$A:$AO,2,FALSE))</f>
        <v>#N/A</v>
      </c>
      <c r="O61" s="3" t="e">
        <f>IF(A61=""," ",VLOOKUP(A61,'Български и испански език'!A:O,15,FALSE))</f>
        <v>#N/A</v>
      </c>
      <c r="P61" s="7" t="e">
        <f>IF(O61=""," ",VLOOKUP(O61,'[8]2012 личен състав ОТД'!$A:$AO,13,FALSE))</f>
        <v>#N/A</v>
      </c>
      <c r="Q61" s="7" t="e">
        <f>IF(O61=""," ",VLOOKUP(O61,'[8]2012 личен състав ОТД'!$A:$AO,12,FALSE))</f>
        <v>#N/A</v>
      </c>
      <c r="R61" s="7" t="e">
        <f>IF(A61=""," ",VLOOKUP(A61,'Профилиращ лист'!A:B,2,FALSE))</f>
        <v>#N/A</v>
      </c>
      <c r="T61" s="7" t="e">
        <f t="shared" ca="1" si="18"/>
        <v>#N/A</v>
      </c>
      <c r="GG61" s="7" t="e">
        <f>SUM(C61:GF61)</f>
        <v>#N/A</v>
      </c>
    </row>
    <row r="62" spans="1:189" x14ac:dyDescent="0.25">
      <c r="A62" s="8" t="s">
        <v>54</v>
      </c>
      <c r="B62" s="4">
        <v>30</v>
      </c>
      <c r="C62" s="4">
        <v>30</v>
      </c>
      <c r="D62" s="4">
        <v>30</v>
      </c>
      <c r="E62" s="4">
        <v>0</v>
      </c>
      <c r="F62" s="4">
        <v>0</v>
      </c>
      <c r="G62" s="4">
        <f t="shared" si="26"/>
        <v>60</v>
      </c>
      <c r="H62" s="4">
        <f t="shared" si="27"/>
        <v>90</v>
      </c>
      <c r="I62" s="4">
        <v>3</v>
      </c>
      <c r="J62" s="4" t="s">
        <v>14</v>
      </c>
      <c r="K62" s="73">
        <f t="shared" si="19"/>
        <v>75</v>
      </c>
      <c r="L62" s="73">
        <f t="shared" si="20"/>
        <v>45</v>
      </c>
      <c r="M62" s="73">
        <f t="shared" si="21"/>
        <v>30</v>
      </c>
      <c r="N62" s="7" t="str">
        <f>IF(O62=""," ",VLOOKUP(O62,'[8]2012 личен състав ОТД'!$A:$AO,2,FALSE))</f>
        <v xml:space="preserve">   </v>
      </c>
      <c r="O62" s="3">
        <f>IF(A62=""," ",VLOOKUP(A62,'Български и испански език'!A:O,15,FALSE))</f>
        <v>0</v>
      </c>
      <c r="P62" s="7">
        <f>IF(O62=""," ",VLOOKUP(O62,'[8]2012 личен състав ОТД'!$A:$AO,13,FALSE))</f>
        <v>0</v>
      </c>
      <c r="Q62" s="7">
        <f>IF(O62=""," ",VLOOKUP(O62,'[8]2012 личен състав ОТД'!$A:$AO,12,FALSE))</f>
        <v>0</v>
      </c>
      <c r="R62" s="7" t="str">
        <f>IF(A62=""," ",VLOOKUP(A62,'Профилиращ лист'!A:B,2,FALSE))</f>
        <v>СПЕ</v>
      </c>
      <c r="T62" s="7">
        <f t="shared" ca="1" si="18"/>
        <v>2013</v>
      </c>
    </row>
    <row r="63" spans="1:189" x14ac:dyDescent="0.25">
      <c r="A63" s="15" t="s">
        <v>57</v>
      </c>
      <c r="B63" s="4">
        <v>15</v>
      </c>
      <c r="C63" s="4">
        <v>30</v>
      </c>
      <c r="D63" s="4">
        <v>0</v>
      </c>
      <c r="E63" s="4">
        <v>0</v>
      </c>
      <c r="F63" s="4">
        <v>30</v>
      </c>
      <c r="G63" s="4">
        <f t="shared" si="26"/>
        <v>30</v>
      </c>
      <c r="H63" s="4">
        <f t="shared" si="27"/>
        <v>60</v>
      </c>
      <c r="I63" s="4">
        <v>2</v>
      </c>
      <c r="J63" s="4" t="s">
        <v>18</v>
      </c>
      <c r="K63" s="73">
        <f t="shared" si="19"/>
        <v>30</v>
      </c>
      <c r="L63" s="73">
        <f t="shared" si="20"/>
        <v>0</v>
      </c>
      <c r="M63" s="73">
        <f t="shared" si="21"/>
        <v>30</v>
      </c>
      <c r="N63" s="7" t="str">
        <f>IF(O63=""," ",VLOOKUP(O63,'[8]2012 личен състав ОТД'!$A:$AO,2,FALSE))</f>
        <v xml:space="preserve">   </v>
      </c>
      <c r="O63" s="3">
        <f>IF(A63=""," ",VLOOKUP(A63,'Български и испански език'!A:O,15,FALSE))</f>
        <v>0</v>
      </c>
      <c r="P63" s="7">
        <f>IF(O63=""," ",VLOOKUP(O63,'[8]2012 личен състав ОТД'!$A:$AO,13,FALSE))</f>
        <v>0</v>
      </c>
      <c r="Q63" s="7">
        <f>IF(O63=""," ",VLOOKUP(O63,'[8]2012 личен състав ОТД'!$A:$AO,12,FALSE))</f>
        <v>0</v>
      </c>
      <c r="R63" s="7" t="str">
        <f>IF(A63=""," ",VLOOKUP(A63,'Профилиращ лист'!A:B,2,FALSE))</f>
        <v>ПЕД</v>
      </c>
      <c r="T63" s="7">
        <f t="shared" ca="1" si="18"/>
        <v>2013</v>
      </c>
    </row>
    <row r="64" spans="1:189" x14ac:dyDescent="0.25">
      <c r="A64" s="8" t="s">
        <v>195</v>
      </c>
      <c r="B64" s="4">
        <v>15</v>
      </c>
      <c r="C64" s="4">
        <v>15</v>
      </c>
      <c r="D64" s="4">
        <v>15</v>
      </c>
      <c r="E64" s="4">
        <v>0</v>
      </c>
      <c r="F64" s="4">
        <v>0</v>
      </c>
      <c r="G64" s="4">
        <f t="shared" si="26"/>
        <v>75</v>
      </c>
      <c r="H64" s="4">
        <f t="shared" si="27"/>
        <v>90</v>
      </c>
      <c r="I64" s="4">
        <v>3</v>
      </c>
      <c r="J64" s="4" t="s">
        <v>12</v>
      </c>
      <c r="K64" s="73">
        <f t="shared" si="19"/>
        <v>15</v>
      </c>
      <c r="L64" s="73">
        <f t="shared" si="20"/>
        <v>15</v>
      </c>
      <c r="M64" s="73">
        <f t="shared" si="21"/>
        <v>0</v>
      </c>
      <c r="N64" s="7" t="str">
        <f>IF(O64=""," ",VLOOKUP(O64,'[8]2012 личен състав ОТД'!$A:$AO,2,FALSE))</f>
        <v>доц. д-р Татяна Ичевска</v>
      </c>
      <c r="O64" s="3" t="s">
        <v>480</v>
      </c>
      <c r="P64" s="7">
        <f>IF(O64=""," ",VLOOKUP(O64,'[8]2012 личен състав ОТД'!$A:$AO,13,FALSE))</f>
        <v>1970</v>
      </c>
      <c r="Q64" s="7" t="str">
        <f>IF(O64=""," ",VLOOKUP(O64,'[8]2012 личен състав ОТД'!$A:$AO,12,FALSE))</f>
        <v>ОТД</v>
      </c>
      <c r="R64" s="7" t="str">
        <f>IF(A64=""," ",VLOOKUP(A64,'Профилиращ лист'!A:B,2,FALSE))</f>
        <v>ИЗБ</v>
      </c>
      <c r="T64" s="7">
        <f t="shared" ca="1" si="18"/>
        <v>43</v>
      </c>
    </row>
    <row r="65" spans="1:20" x14ac:dyDescent="0.25">
      <c r="B65" s="9">
        <f t="shared" ref="B65:I65" si="28">SUM(B57:B64)</f>
        <v>330</v>
      </c>
      <c r="C65" s="9">
        <f t="shared" si="28"/>
        <v>345</v>
      </c>
      <c r="D65" s="9">
        <f t="shared" si="28"/>
        <v>165</v>
      </c>
      <c r="E65" s="9">
        <f t="shared" si="28"/>
        <v>45</v>
      </c>
      <c r="F65" s="9">
        <f t="shared" si="28"/>
        <v>135</v>
      </c>
      <c r="G65" s="9">
        <f t="shared" si="28"/>
        <v>555</v>
      </c>
      <c r="H65" s="9">
        <f t="shared" si="28"/>
        <v>900</v>
      </c>
      <c r="I65" s="9">
        <f t="shared" si="28"/>
        <v>30</v>
      </c>
      <c r="J65" s="6"/>
      <c r="K65" s="73">
        <f t="shared" si="19"/>
        <v>0</v>
      </c>
      <c r="L65" s="73">
        <f t="shared" si="20"/>
        <v>0</v>
      </c>
      <c r="M65" s="73">
        <f t="shared" si="21"/>
        <v>0</v>
      </c>
      <c r="N65" s="7" t="e">
        <f>IF(O65=""," ",VLOOKUP(O65,'[8]2012 личен състав ОТД'!$A:$AO,2,FALSE))</f>
        <v>#N/A</v>
      </c>
      <c r="O65" s="3" t="str">
        <f>IF(A65=""," ",VLOOKUP(A65,'Български и испански език'!A:O,15,FALSE))</f>
        <v xml:space="preserve"> </v>
      </c>
      <c r="P65" s="7" t="e">
        <f>IF(O65=""," ",VLOOKUP(O65,'[8]2012 личен състав ОТД'!$A:$AO,13,FALSE))</f>
        <v>#N/A</v>
      </c>
      <c r="Q65" s="7" t="e">
        <f>IF(O65=""," ",VLOOKUP(O65,'[8]2012 личен състав ОТД'!$A:$AO,12,FALSE))</f>
        <v>#N/A</v>
      </c>
      <c r="R65" s="7" t="str">
        <f>IF(A65=""," ",VLOOKUP(A65,'Профилиращ лист'!A:B,2,FALSE))</f>
        <v xml:space="preserve"> </v>
      </c>
      <c r="T65" s="7" t="e">
        <f t="shared" ca="1" si="18"/>
        <v>#N/A</v>
      </c>
    </row>
    <row r="66" spans="1:20" x14ac:dyDescent="0.25">
      <c r="A66" s="1" t="s">
        <v>59</v>
      </c>
      <c r="B66" s="1"/>
      <c r="I66" s="13"/>
      <c r="J66" s="14"/>
      <c r="K66" s="73">
        <f t="shared" si="19"/>
        <v>0</v>
      </c>
      <c r="L66" s="73">
        <f t="shared" si="20"/>
        <v>0</v>
      </c>
      <c r="M66" s="73">
        <f t="shared" si="21"/>
        <v>0</v>
      </c>
      <c r="N66" s="7" t="str">
        <f>IF(O66=""," ",VLOOKUP(O66,'[8]2012 личен състав ОТД'!$A:$AO,2,FALSE))</f>
        <v xml:space="preserve">   </v>
      </c>
      <c r="O66" s="3">
        <f>IF(A66=""," ",VLOOKUP(A66,'Български и испански език'!A:O,15,FALSE))</f>
        <v>0</v>
      </c>
      <c r="P66" s="7">
        <f>IF(O66=""," ",VLOOKUP(O66,'[8]2012 личен състав ОТД'!$A:$AO,13,FALSE))</f>
        <v>0</v>
      </c>
      <c r="Q66" s="7">
        <f>IF(O66=""," ",VLOOKUP(O66,'[8]2012 личен състав ОТД'!$A:$AO,12,FALSE))</f>
        <v>0</v>
      </c>
      <c r="R66" s="7" t="e">
        <f>IF(A66=""," ",VLOOKUP(A66,'Профилиращ лист'!A:B,2,FALSE))</f>
        <v>#N/A</v>
      </c>
      <c r="T66" s="7">
        <f t="shared" ca="1" si="18"/>
        <v>2013</v>
      </c>
    </row>
    <row r="67" spans="1:20" x14ac:dyDescent="0.25">
      <c r="A67" s="8" t="s">
        <v>62</v>
      </c>
      <c r="B67" s="4">
        <v>45</v>
      </c>
      <c r="C67" s="4">
        <v>45</v>
      </c>
      <c r="D67" s="4">
        <v>45</v>
      </c>
      <c r="E67" s="4">
        <v>0</v>
      </c>
      <c r="F67" s="4">
        <v>0</v>
      </c>
      <c r="G67" s="4">
        <f t="shared" ref="G67:G77" si="29">H67-C67</f>
        <v>75</v>
      </c>
      <c r="H67" s="4">
        <f t="shared" ref="H67:H77" si="30">I67*30</f>
        <v>120</v>
      </c>
      <c r="I67" s="4">
        <v>4</v>
      </c>
      <c r="J67" s="4" t="s">
        <v>14</v>
      </c>
      <c r="K67" s="73">
        <f t="shared" si="19"/>
        <v>90</v>
      </c>
      <c r="L67" s="73">
        <f t="shared" si="20"/>
        <v>75</v>
      </c>
      <c r="M67" s="73">
        <f t="shared" si="21"/>
        <v>15</v>
      </c>
      <c r="N67" s="7" t="str">
        <f>IF(O67=""," ",VLOOKUP(O67,'[8]2012 личен състав ОТД'!$A:$AO,2,FALSE))</f>
        <v xml:space="preserve">   </v>
      </c>
      <c r="O67" s="3">
        <f>IF(A67=""," ",VLOOKUP(A67,'Български и испански език'!A:O,15,FALSE))</f>
        <v>0</v>
      </c>
      <c r="P67" s="7">
        <f>IF(O67=""," ",VLOOKUP(O67,'[8]2012 личен състав ОТД'!$A:$AO,13,FALSE))</f>
        <v>0</v>
      </c>
      <c r="Q67" s="7">
        <f>IF(O67=""," ",VLOOKUP(O67,'[8]2012 личен състав ОТД'!$A:$AO,12,FALSE))</f>
        <v>0</v>
      </c>
      <c r="R67" s="7" t="str">
        <f>IF(A67=""," ",VLOOKUP(A67,'Профилиращ лист'!A:B,2,FALSE))</f>
        <v>СПЕ</v>
      </c>
      <c r="T67" s="7">
        <f t="shared" ref="T67:T95" ca="1" si="31">Години-P67</f>
        <v>2013</v>
      </c>
    </row>
    <row r="68" spans="1:20" x14ac:dyDescent="0.25">
      <c r="A68" s="8" t="s">
        <v>185</v>
      </c>
      <c r="B68" s="4">
        <v>90</v>
      </c>
      <c r="C68" s="4">
        <v>75</v>
      </c>
      <c r="D68" s="4">
        <v>0</v>
      </c>
      <c r="E68" s="4">
        <v>0</v>
      </c>
      <c r="F68" s="4">
        <v>75</v>
      </c>
      <c r="G68" s="4">
        <f t="shared" si="29"/>
        <v>75</v>
      </c>
      <c r="H68" s="4">
        <f t="shared" si="30"/>
        <v>150</v>
      </c>
      <c r="I68" s="4">
        <v>5</v>
      </c>
      <c r="J68" s="4" t="s">
        <v>14</v>
      </c>
      <c r="K68" s="73">
        <f t="shared" si="19"/>
        <v>555</v>
      </c>
      <c r="L68" s="73">
        <f t="shared" si="20"/>
        <v>0</v>
      </c>
      <c r="M68" s="73">
        <f t="shared" si="21"/>
        <v>555</v>
      </c>
      <c r="N68" s="7" t="e">
        <f>IF(O68=""," ",VLOOKUP(O68,'[8]2012 личен състав ОТД'!$A:$AO,2,FALSE))</f>
        <v>#N/A</v>
      </c>
      <c r="O68" s="3" t="e">
        <f>IF(A68=""," ",VLOOKUP(A68,'Български и испански език'!A:O,15,FALSE))</f>
        <v>#N/A</v>
      </c>
      <c r="P68" s="7" t="e">
        <f>IF(O68=""," ",VLOOKUP(O68,'[8]2012 личен състав ОТД'!$A:$AO,13,FALSE))</f>
        <v>#N/A</v>
      </c>
      <c r="Q68" s="7" t="e">
        <f>IF(O68=""," ",VLOOKUP(O68,'[8]2012 личен състав ОТД'!$A:$AO,12,FALSE))</f>
        <v>#N/A</v>
      </c>
      <c r="R68" s="7" t="e">
        <f>IF(A68=""," ",VLOOKUP(A68,'Профилиращ лист'!A:B,2,FALSE))</f>
        <v>#N/A</v>
      </c>
      <c r="T68" s="7" t="e">
        <f t="shared" ca="1" si="31"/>
        <v>#N/A</v>
      </c>
    </row>
    <row r="69" spans="1:20" x14ac:dyDescent="0.25">
      <c r="A69" s="8" t="s">
        <v>196</v>
      </c>
      <c r="B69" s="4">
        <v>30</v>
      </c>
      <c r="C69" s="4">
        <v>30</v>
      </c>
      <c r="D69" s="4">
        <v>15</v>
      </c>
      <c r="E69" s="4">
        <v>15</v>
      </c>
      <c r="F69" s="4">
        <v>0</v>
      </c>
      <c r="G69" s="4">
        <f t="shared" si="29"/>
        <v>60</v>
      </c>
      <c r="H69" s="4">
        <f t="shared" si="30"/>
        <v>90</v>
      </c>
      <c r="I69" s="4">
        <v>3</v>
      </c>
      <c r="J69" s="4" t="s">
        <v>12</v>
      </c>
      <c r="K69" s="73">
        <f t="shared" si="19"/>
        <v>30</v>
      </c>
      <c r="L69" s="73">
        <f t="shared" si="20"/>
        <v>15</v>
      </c>
      <c r="M69" s="73">
        <f t="shared" si="21"/>
        <v>15</v>
      </c>
      <c r="N69" s="7" t="str">
        <f>IF(O69=""," ",VLOOKUP(O69,'[8]2012 личен състав ОТД'!$A:$AO,2,FALSE))</f>
        <v>доц. д-р Елена Гетова</v>
      </c>
      <c r="O69" s="3" t="s">
        <v>468</v>
      </c>
      <c r="P69" s="7">
        <f>IF(O69=""," ",VLOOKUP(O69,'[8]2012 личен състав ОТД'!$A:$AO,13,FALSE))</f>
        <v>1969</v>
      </c>
      <c r="Q69" s="7" t="str">
        <f>IF(O69=""," ",VLOOKUP(O69,'[8]2012 личен състав ОТД'!$A:$AO,12,FALSE))</f>
        <v>ОТД</v>
      </c>
      <c r="R69" s="7" t="str">
        <f>IF(A69=""," ",VLOOKUP(A69,'Профилиращ лист'!A:B,2,FALSE))</f>
        <v>ИЗБ</v>
      </c>
      <c r="T69" s="7">
        <f t="shared" ca="1" si="31"/>
        <v>44</v>
      </c>
    </row>
    <row r="70" spans="1:20" x14ac:dyDescent="0.25">
      <c r="A70" s="8" t="s">
        <v>54</v>
      </c>
      <c r="B70" s="4">
        <v>30</v>
      </c>
      <c r="C70" s="4">
        <v>45</v>
      </c>
      <c r="D70" s="4">
        <v>15</v>
      </c>
      <c r="E70" s="4">
        <v>30</v>
      </c>
      <c r="F70" s="4">
        <v>0</v>
      </c>
      <c r="G70" s="4">
        <f t="shared" si="29"/>
        <v>15</v>
      </c>
      <c r="H70" s="4">
        <f t="shared" si="30"/>
        <v>60</v>
      </c>
      <c r="I70" s="4">
        <v>2</v>
      </c>
      <c r="J70" s="4" t="s">
        <v>14</v>
      </c>
      <c r="K70" s="73">
        <f t="shared" si="19"/>
        <v>75</v>
      </c>
      <c r="L70" s="73">
        <f t="shared" si="20"/>
        <v>45</v>
      </c>
      <c r="M70" s="73">
        <f t="shared" si="21"/>
        <v>30</v>
      </c>
      <c r="N70" s="7" t="str">
        <f>IF(O70=""," ",VLOOKUP(O70,'[8]2012 личен състав ОТД'!$A:$AO,2,FALSE))</f>
        <v xml:space="preserve">   </v>
      </c>
      <c r="O70" s="3">
        <f>IF(A70=""," ",VLOOKUP(A70,'Български и испански език'!A:O,15,FALSE))</f>
        <v>0</v>
      </c>
      <c r="P70" s="7">
        <f>IF(O70=""," ",VLOOKUP(O70,'[8]2012 личен състав ОТД'!$A:$AO,13,FALSE))</f>
        <v>0</v>
      </c>
      <c r="Q70" s="7">
        <f>IF(O70=""," ",VLOOKUP(O70,'[8]2012 личен състав ОТД'!$A:$AO,12,FALSE))</f>
        <v>0</v>
      </c>
      <c r="R70" s="7" t="str">
        <f>IF(A70=""," ",VLOOKUP(A70,'Профилиращ лист'!A:B,2,FALSE))</f>
        <v>СПЕ</v>
      </c>
      <c r="T70" s="7">
        <f t="shared" ca="1" si="31"/>
        <v>2013</v>
      </c>
    </row>
    <row r="71" spans="1:20" x14ac:dyDescent="0.25">
      <c r="A71" s="8" t="s">
        <v>197</v>
      </c>
      <c r="B71" s="4">
        <v>30</v>
      </c>
      <c r="C71" s="4">
        <v>45</v>
      </c>
      <c r="D71" s="4">
        <v>30</v>
      </c>
      <c r="E71" s="4">
        <v>15</v>
      </c>
      <c r="F71" s="4">
        <v>0</v>
      </c>
      <c r="G71" s="4">
        <f t="shared" si="29"/>
        <v>15</v>
      </c>
      <c r="H71" s="4">
        <f t="shared" si="30"/>
        <v>60</v>
      </c>
      <c r="I71" s="4">
        <v>2</v>
      </c>
      <c r="J71" s="6" t="s">
        <v>12</v>
      </c>
      <c r="K71" s="73">
        <f t="shared" si="19"/>
        <v>45</v>
      </c>
      <c r="L71" s="73">
        <f t="shared" si="20"/>
        <v>30</v>
      </c>
      <c r="M71" s="73">
        <f t="shared" si="21"/>
        <v>15</v>
      </c>
      <c r="N71" s="7" t="str">
        <f>IF(O71=""," ",VLOOKUP(O71,'[8]2012 личен състав ОТД'!$A:$AO,2,FALSE))</f>
        <v>проф. дфн Иван Добрев</v>
      </c>
      <c r="O71" s="3" t="s">
        <v>515</v>
      </c>
      <c r="P71" s="7">
        <f>IF(O71=""," ",VLOOKUP(O71,'[8]2012 личен състав ОТД'!$A:$AO,13,FALSE))</f>
        <v>0</v>
      </c>
      <c r="Q71" s="7" t="str">
        <f>IF(O71=""," ",VLOOKUP(O71,'[8]2012 личен състав ОТД'!$A:$AO,12,FALSE))</f>
        <v>ХОН</v>
      </c>
      <c r="R71" s="7" t="s">
        <v>255</v>
      </c>
      <c r="T71" s="7">
        <f t="shared" ca="1" si="31"/>
        <v>2013</v>
      </c>
    </row>
    <row r="72" spans="1:20" x14ac:dyDescent="0.25">
      <c r="A72" s="8" t="s">
        <v>198</v>
      </c>
      <c r="B72" s="8">
        <v>45</v>
      </c>
      <c r="C72" s="4">
        <v>30</v>
      </c>
      <c r="D72" s="4">
        <v>30</v>
      </c>
      <c r="E72" s="4">
        <v>0</v>
      </c>
      <c r="F72" s="4">
        <v>0</v>
      </c>
      <c r="G72" s="4">
        <f t="shared" si="29"/>
        <v>60</v>
      </c>
      <c r="H72" s="4">
        <f t="shared" si="30"/>
        <v>90</v>
      </c>
      <c r="I72" s="5">
        <v>3</v>
      </c>
      <c r="J72" s="6" t="s">
        <v>12</v>
      </c>
      <c r="K72" s="73">
        <f t="shared" si="19"/>
        <v>30</v>
      </c>
      <c r="L72" s="73">
        <f t="shared" si="20"/>
        <v>30</v>
      </c>
      <c r="M72" s="73">
        <f t="shared" si="21"/>
        <v>0</v>
      </c>
      <c r="N72" s="7" t="str">
        <f>IF(O72=""," ",VLOOKUP(O72,'[8]2012 личен състав ОТД'!$A:$AO,2,FALSE))</f>
        <v>доц. д-р  Христо Салджиев</v>
      </c>
      <c r="O72" s="3" t="s">
        <v>519</v>
      </c>
      <c r="P72" s="7">
        <f>IF(O72=""," ",VLOOKUP(O72,'[8]2012 личен състав ОТД'!$A:$AO,13,FALSE))</f>
        <v>0</v>
      </c>
      <c r="Q72" s="7" t="str">
        <f>IF(O72=""," ",VLOOKUP(O72,'[8]2012 личен състав ОТД'!$A:$AO,12,FALSE))</f>
        <v>ХОН</v>
      </c>
      <c r="R72" s="7" t="s">
        <v>255</v>
      </c>
      <c r="T72" s="7">
        <f t="shared" ca="1" si="31"/>
        <v>2013</v>
      </c>
    </row>
    <row r="73" spans="1:20" x14ac:dyDescent="0.25">
      <c r="A73" s="8" t="s">
        <v>199</v>
      </c>
      <c r="C73" s="4">
        <v>30</v>
      </c>
      <c r="D73" s="4">
        <v>30</v>
      </c>
      <c r="E73" s="4">
        <v>0</v>
      </c>
      <c r="F73" s="4">
        <v>0</v>
      </c>
      <c r="G73" s="4">
        <f t="shared" si="29"/>
        <v>60</v>
      </c>
      <c r="H73" s="4">
        <f t="shared" si="30"/>
        <v>90</v>
      </c>
      <c r="I73" s="5">
        <v>3</v>
      </c>
      <c r="J73" s="6" t="s">
        <v>12</v>
      </c>
      <c r="K73" s="73">
        <f t="shared" ref="K73:K85" si="32">SUMIF(A:A,A73,C:C)</f>
        <v>30</v>
      </c>
      <c r="L73" s="73">
        <f t="shared" ref="L73:L85" si="33">SUMIF(A:A,A73,D:D)</f>
        <v>30</v>
      </c>
      <c r="M73" s="73">
        <f t="shared" ref="M73:M85" si="34">SUMIF(A:A,A73,E:E)+SUMIF(A:A,A73,F:F)</f>
        <v>0</v>
      </c>
      <c r="N73" s="7" t="str">
        <f>IF(O73=""," ",VLOOKUP(O73,'[8]2012 личен състав ОТД'!$A:$AO,2,FALSE))</f>
        <v>доц. д-р  Христо Салджиев</v>
      </c>
      <c r="O73" s="3" t="s">
        <v>519</v>
      </c>
      <c r="P73" s="7">
        <f>IF(O73=""," ",VLOOKUP(O73,'[8]2012 личен състав ОТД'!$A:$AO,13,FALSE))</f>
        <v>0</v>
      </c>
      <c r="Q73" s="7" t="str">
        <f>IF(O73=""," ",VLOOKUP(O73,'[8]2012 личен състав ОТД'!$A:$AO,12,FALSE))</f>
        <v>ХОН</v>
      </c>
      <c r="R73" s="7" t="s">
        <v>265</v>
      </c>
      <c r="T73" s="7">
        <f t="shared" ca="1" si="31"/>
        <v>2013</v>
      </c>
    </row>
    <row r="74" spans="1:20" x14ac:dyDescent="0.25">
      <c r="A74" s="8" t="s">
        <v>66</v>
      </c>
      <c r="B74" s="4">
        <v>30</v>
      </c>
      <c r="C74" s="4">
        <v>30</v>
      </c>
      <c r="D74" s="4">
        <v>0</v>
      </c>
      <c r="E74" s="4">
        <v>0</v>
      </c>
      <c r="F74" s="4">
        <v>30</v>
      </c>
      <c r="G74" s="4">
        <f t="shared" si="29"/>
        <v>30</v>
      </c>
      <c r="H74" s="4">
        <f t="shared" si="30"/>
        <v>60</v>
      </c>
      <c r="I74" s="4">
        <v>2</v>
      </c>
      <c r="J74" s="4" t="s">
        <v>18</v>
      </c>
      <c r="K74" s="73">
        <f t="shared" si="32"/>
        <v>30</v>
      </c>
      <c r="L74" s="73">
        <f t="shared" si="33"/>
        <v>0</v>
      </c>
      <c r="M74" s="73">
        <f t="shared" si="34"/>
        <v>30</v>
      </c>
      <c r="N74" s="7" t="str">
        <f>IF(O74=""," ",VLOOKUP(O74,'[8]2012 личен състав ОТД'!$A:$AO,2,FALSE))</f>
        <v xml:space="preserve">   </v>
      </c>
      <c r="O74" s="3">
        <f>IF(A74=""," ",VLOOKUP(A74,'Български и испански език'!A:O,15,FALSE))</f>
        <v>0</v>
      </c>
      <c r="P74" s="7">
        <f>IF(O74=""," ",VLOOKUP(O74,'[8]2012 личен състав ОТД'!$A:$AO,13,FALSE))</f>
        <v>0</v>
      </c>
      <c r="Q74" s="7">
        <f>IF(O74=""," ",VLOOKUP(O74,'[8]2012 личен състав ОТД'!$A:$AO,12,FALSE))</f>
        <v>0</v>
      </c>
      <c r="R74" s="7" t="str">
        <f>IF(A74=""," ",VLOOKUP(A74,'Профилиращ лист'!A:B,2,FALSE))</f>
        <v>ПЕД</v>
      </c>
      <c r="T74" s="7">
        <f t="shared" ca="1" si="31"/>
        <v>2013</v>
      </c>
    </row>
    <row r="75" spans="1:20" x14ac:dyDescent="0.25">
      <c r="A75" s="8" t="s">
        <v>200</v>
      </c>
      <c r="B75" s="4">
        <v>15</v>
      </c>
      <c r="C75" s="4">
        <v>15</v>
      </c>
      <c r="D75" s="4">
        <v>0</v>
      </c>
      <c r="E75" s="4">
        <v>0</v>
      </c>
      <c r="F75" s="4">
        <v>15</v>
      </c>
      <c r="G75" s="4">
        <f t="shared" si="29"/>
        <v>45</v>
      </c>
      <c r="H75" s="4">
        <f t="shared" si="30"/>
        <v>60</v>
      </c>
      <c r="I75" s="4">
        <v>2</v>
      </c>
      <c r="J75" s="4" t="s">
        <v>18</v>
      </c>
      <c r="K75" s="73">
        <f t="shared" si="32"/>
        <v>15</v>
      </c>
      <c r="L75" s="73">
        <f t="shared" si="33"/>
        <v>0</v>
      </c>
      <c r="M75" s="73">
        <f t="shared" si="34"/>
        <v>15</v>
      </c>
      <c r="N75" s="7" t="e">
        <f>IF(O75=""," ",VLOOKUP(O75,'[8]2012 личен състав ОТД'!$A:$AO,2,FALSE))</f>
        <v>#N/A</v>
      </c>
      <c r="O75" s="3" t="e">
        <f>IF(A75=""," ",VLOOKUP(A75,'Български и испански език'!A:O,15,FALSE))</f>
        <v>#N/A</v>
      </c>
      <c r="P75" s="7" t="e">
        <f>IF(O75=""," ",VLOOKUP(O75,'[8]2012 личен състав ОТД'!$A:$AO,13,FALSE))</f>
        <v>#N/A</v>
      </c>
      <c r="Q75" s="7" t="e">
        <f>IF(O75=""," ",VLOOKUP(O75,'[8]2012 личен състав ОТД'!$A:$AO,12,FALSE))</f>
        <v>#N/A</v>
      </c>
      <c r="R75" s="7" t="e">
        <f>IF(A75=""," ",VLOOKUP(A75,'Профилиращ лист'!A:B,2,FALSE))</f>
        <v>#N/A</v>
      </c>
      <c r="T75" s="7" t="e">
        <f t="shared" ca="1" si="31"/>
        <v>#N/A</v>
      </c>
    </row>
    <row r="76" spans="1:20" x14ac:dyDescent="0.25">
      <c r="A76" s="8" t="s">
        <v>55</v>
      </c>
      <c r="B76" s="4">
        <v>30</v>
      </c>
      <c r="C76" s="4">
        <v>30</v>
      </c>
      <c r="D76" s="4">
        <v>0</v>
      </c>
      <c r="E76" s="4">
        <v>0</v>
      </c>
      <c r="F76" s="4">
        <v>30</v>
      </c>
      <c r="G76" s="4">
        <f t="shared" si="29"/>
        <v>60</v>
      </c>
      <c r="H76" s="4">
        <f t="shared" si="30"/>
        <v>90</v>
      </c>
      <c r="I76" s="4">
        <v>3</v>
      </c>
      <c r="J76" s="4" t="s">
        <v>18</v>
      </c>
      <c r="K76" s="73">
        <f t="shared" si="32"/>
        <v>30</v>
      </c>
      <c r="L76" s="73">
        <f t="shared" si="33"/>
        <v>0</v>
      </c>
      <c r="M76" s="73">
        <f t="shared" si="34"/>
        <v>30</v>
      </c>
      <c r="N76" s="7" t="str">
        <f>IF(O76=""," ",VLOOKUP(O76,'[8]2012 личен състав ОТД'!$A:$AO,2,FALSE))</f>
        <v xml:space="preserve">   </v>
      </c>
      <c r="O76" s="3">
        <f>IF(A76=""," ",VLOOKUP(A76,'Български и испански език'!A:O,15,FALSE))</f>
        <v>0</v>
      </c>
      <c r="P76" s="7">
        <f>IF(O76=""," ",VLOOKUP(O76,'[8]2012 личен състав ОТД'!$A:$AO,13,FALSE))</f>
        <v>0</v>
      </c>
      <c r="Q76" s="7">
        <f>IF(O76=""," ",VLOOKUP(O76,'[8]2012 личен състав ОТД'!$A:$AO,12,FALSE))</f>
        <v>0</v>
      </c>
      <c r="R76" s="7" t="str">
        <f>IF(A76=""," ",VLOOKUP(A76,'Профилиращ лист'!A:B,2,FALSE))</f>
        <v>ФД</v>
      </c>
      <c r="T76" s="7">
        <f t="shared" ca="1" si="31"/>
        <v>2013</v>
      </c>
    </row>
    <row r="77" spans="1:20" x14ac:dyDescent="0.25">
      <c r="A77" s="8" t="s">
        <v>201</v>
      </c>
      <c r="B77" s="4">
        <v>15</v>
      </c>
      <c r="C77" s="4">
        <v>15</v>
      </c>
      <c r="D77" s="4">
        <v>0</v>
      </c>
      <c r="E77" s="4">
        <v>0</v>
      </c>
      <c r="F77" s="4">
        <v>15</v>
      </c>
      <c r="G77" s="4">
        <f t="shared" si="29"/>
        <v>45</v>
      </c>
      <c r="H77" s="4">
        <f t="shared" si="30"/>
        <v>60</v>
      </c>
      <c r="I77" s="4">
        <v>2</v>
      </c>
      <c r="J77" s="4" t="s">
        <v>18</v>
      </c>
      <c r="K77" s="73">
        <f t="shared" si="32"/>
        <v>15</v>
      </c>
      <c r="L77" s="73">
        <f t="shared" si="33"/>
        <v>0</v>
      </c>
      <c r="M77" s="73">
        <f t="shared" si="34"/>
        <v>15</v>
      </c>
      <c r="N77" s="7" t="e">
        <f>IF(O77=""," ",VLOOKUP(O77,'[8]2012 личен състав ОТД'!$A:$AO,2,FALSE))</f>
        <v>#N/A</v>
      </c>
      <c r="O77" s="3" t="e">
        <f>IF(A77=""," ",VLOOKUP(A77,'Български и испански език'!A:O,15,FALSE))</f>
        <v>#N/A</v>
      </c>
      <c r="P77" s="7" t="e">
        <f>IF(O77=""," ",VLOOKUP(O77,'[8]2012 личен състав ОТД'!$A:$AO,13,FALSE))</f>
        <v>#N/A</v>
      </c>
      <c r="Q77" s="7" t="e">
        <f>IF(O77=""," ",VLOOKUP(O77,'[8]2012 личен състав ОТД'!$A:$AO,12,FALSE))</f>
        <v>#N/A</v>
      </c>
      <c r="R77" s="7" t="e">
        <f>IF(A77=""," ",VLOOKUP(A77,'Профилиращ лист'!A:B,2,FALSE))</f>
        <v>#N/A</v>
      </c>
      <c r="T77" s="7" t="e">
        <f t="shared" ca="1" si="31"/>
        <v>#N/A</v>
      </c>
    </row>
    <row r="78" spans="1:20" x14ac:dyDescent="0.25">
      <c r="B78" s="9">
        <f t="shared" ref="B78:I78" si="35">SUM(B67:B77)</f>
        <v>360</v>
      </c>
      <c r="C78" s="9">
        <f t="shared" si="35"/>
        <v>390</v>
      </c>
      <c r="D78" s="9">
        <f t="shared" si="35"/>
        <v>165</v>
      </c>
      <c r="E78" s="9">
        <f t="shared" si="35"/>
        <v>60</v>
      </c>
      <c r="F78" s="9">
        <f t="shared" si="35"/>
        <v>165</v>
      </c>
      <c r="G78" s="9">
        <f t="shared" si="35"/>
        <v>540</v>
      </c>
      <c r="H78" s="9">
        <f t="shared" si="35"/>
        <v>930</v>
      </c>
      <c r="I78" s="9">
        <f t="shared" si="35"/>
        <v>31</v>
      </c>
      <c r="J78" s="6"/>
      <c r="K78" s="73">
        <f t="shared" si="32"/>
        <v>0</v>
      </c>
      <c r="L78" s="73">
        <f t="shared" si="33"/>
        <v>0</v>
      </c>
      <c r="M78" s="73">
        <f t="shared" si="34"/>
        <v>0</v>
      </c>
      <c r="N78" s="7" t="e">
        <f>IF(O78=""," ",VLOOKUP(O78,'[8]2012 личен състав ОТД'!$A:$AO,2,FALSE))</f>
        <v>#N/A</v>
      </c>
      <c r="O78" s="3" t="str">
        <f>IF(A78=""," ",VLOOKUP(A78,'Български и испански език'!A:O,15,FALSE))</f>
        <v xml:space="preserve"> </v>
      </c>
      <c r="P78" s="7" t="e">
        <f>IF(O78=""," ",VLOOKUP(O78,'[8]2012 личен състав ОТД'!$A:$AO,13,FALSE))</f>
        <v>#N/A</v>
      </c>
      <c r="Q78" s="7" t="e">
        <f>IF(O78=""," ",VLOOKUP(O78,'[8]2012 личен състав ОТД'!$A:$AO,12,FALSE))</f>
        <v>#N/A</v>
      </c>
      <c r="R78" s="7" t="str">
        <f>IF(A78=""," ",VLOOKUP(A78,'Профилиращ лист'!A:B,2,FALSE))</f>
        <v xml:space="preserve"> </v>
      </c>
      <c r="T78" s="7" t="e">
        <f t="shared" ca="1" si="31"/>
        <v>#N/A</v>
      </c>
    </row>
    <row r="79" spans="1:20" x14ac:dyDescent="0.25">
      <c r="A79" s="1" t="s">
        <v>68</v>
      </c>
      <c r="B79" s="1"/>
      <c r="J79" s="6"/>
      <c r="K79" s="73">
        <f t="shared" si="32"/>
        <v>0</v>
      </c>
      <c r="L79" s="73">
        <f t="shared" si="33"/>
        <v>0</v>
      </c>
      <c r="M79" s="73">
        <f t="shared" si="34"/>
        <v>0</v>
      </c>
      <c r="N79" s="7" t="str">
        <f>IF(O79=""," ",VLOOKUP(O79,'[8]2012 личен състав ОТД'!$A:$AO,2,FALSE))</f>
        <v xml:space="preserve">   </v>
      </c>
      <c r="O79" s="3">
        <f>IF(A79=""," ",VLOOKUP(A79,'Български и испански език'!A:O,15,FALSE))</f>
        <v>0</v>
      </c>
      <c r="P79" s="7">
        <f>IF(O79=""," ",VLOOKUP(O79,'[8]2012 личен състав ОТД'!$A:$AO,13,FALSE))</f>
        <v>0</v>
      </c>
      <c r="Q79" s="7">
        <f>IF(O79=""," ",VLOOKUP(O79,'[8]2012 личен състав ОТД'!$A:$AO,12,FALSE))</f>
        <v>0</v>
      </c>
      <c r="R79" s="7" t="e">
        <f>IF(A79=""," ",VLOOKUP(A79,'Профилиращ лист'!A:B,2,FALSE))</f>
        <v>#N/A</v>
      </c>
      <c r="T79" s="7">
        <f t="shared" ca="1" si="31"/>
        <v>2013</v>
      </c>
    </row>
    <row r="80" spans="1:20" x14ac:dyDescent="0.25">
      <c r="A80" s="8" t="s">
        <v>62</v>
      </c>
      <c r="B80" s="4">
        <v>30</v>
      </c>
      <c r="C80" s="4">
        <v>45</v>
      </c>
      <c r="D80" s="4">
        <v>30</v>
      </c>
      <c r="E80" s="4">
        <v>15</v>
      </c>
      <c r="F80" s="4">
        <v>0</v>
      </c>
      <c r="G80" s="4">
        <f t="shared" ref="G80:G85" si="36">H80-C80</f>
        <v>75</v>
      </c>
      <c r="H80" s="4">
        <f t="shared" ref="H80:H85" si="37">I80*30</f>
        <v>120</v>
      </c>
      <c r="I80" s="4">
        <v>4</v>
      </c>
      <c r="J80" s="4" t="s">
        <v>12</v>
      </c>
      <c r="K80" s="73">
        <f t="shared" si="32"/>
        <v>90</v>
      </c>
      <c r="L80" s="73">
        <f t="shared" si="33"/>
        <v>75</v>
      </c>
      <c r="M80" s="73">
        <f t="shared" si="34"/>
        <v>15</v>
      </c>
      <c r="N80" s="7" t="str">
        <f>IF(O80=""," ",VLOOKUP(O80,'[8]2012 личен състав ОТД'!$A:$AO,2,FALSE))</f>
        <v>доц. д-р Татяна Ичевска</v>
      </c>
      <c r="O80" s="3" t="s">
        <v>480</v>
      </c>
      <c r="P80" s="7">
        <f>IF(O80=""," ",VLOOKUP(O80,'[8]2012 личен състав ОТД'!$A:$AO,13,FALSE))</f>
        <v>1970</v>
      </c>
      <c r="Q80" s="7" t="str">
        <f>IF(O80=""," ",VLOOKUP(O80,'[8]2012 личен състав ОТД'!$A:$AO,12,FALSE))</f>
        <v>ОТД</v>
      </c>
      <c r="R80" s="7" t="str">
        <f>IF(A80=""," ",VLOOKUP(A80,'Профилиращ лист'!A:B,2,FALSE))</f>
        <v>СПЕ</v>
      </c>
      <c r="T80" s="7">
        <f t="shared" ca="1" si="31"/>
        <v>43</v>
      </c>
    </row>
    <row r="81" spans="1:20" x14ac:dyDescent="0.25">
      <c r="A81" s="8" t="s">
        <v>202</v>
      </c>
      <c r="B81" s="4">
        <v>30</v>
      </c>
      <c r="C81" s="4">
        <v>30</v>
      </c>
      <c r="D81" s="4">
        <v>15</v>
      </c>
      <c r="E81" s="4">
        <v>15</v>
      </c>
      <c r="F81" s="4">
        <v>0</v>
      </c>
      <c r="G81" s="4">
        <f t="shared" si="36"/>
        <v>90</v>
      </c>
      <c r="H81" s="4">
        <f t="shared" si="37"/>
        <v>120</v>
      </c>
      <c r="I81" s="4">
        <v>4</v>
      </c>
      <c r="J81" s="6" t="s">
        <v>12</v>
      </c>
      <c r="K81" s="73">
        <f t="shared" si="32"/>
        <v>30</v>
      </c>
      <c r="L81" s="73">
        <f t="shared" si="33"/>
        <v>15</v>
      </c>
      <c r="M81" s="73">
        <f t="shared" si="34"/>
        <v>15</v>
      </c>
      <c r="N81" s="7" t="str">
        <f>IF(O81=""," ",VLOOKUP(O81,'[8]2012 личен състав ОТД'!$A:$AO,2,FALSE))</f>
        <v>доц. д-р Аднан Карагюл</v>
      </c>
      <c r="O81" s="3" t="s">
        <v>516</v>
      </c>
      <c r="P81" s="7">
        <f>IF(O81=""," ",VLOOKUP(O81,'[8]2012 личен състав ОТД'!$A:$AO,13,FALSE))</f>
        <v>0</v>
      </c>
      <c r="Q81" s="7" t="str">
        <f>IF(O81=""," ",VLOOKUP(O81,'[8]2012 личен състав ОТД'!$A:$AO,12,FALSE))</f>
        <v>ХОН</v>
      </c>
      <c r="R81" s="7" t="s">
        <v>255</v>
      </c>
      <c r="T81" s="7">
        <f t="shared" ca="1" si="31"/>
        <v>2013</v>
      </c>
    </row>
    <row r="82" spans="1:20" x14ac:dyDescent="0.25">
      <c r="A82" s="8" t="s">
        <v>185</v>
      </c>
      <c r="B82" s="4">
        <v>90</v>
      </c>
      <c r="C82" s="4">
        <v>75</v>
      </c>
      <c r="D82" s="4">
        <v>0</v>
      </c>
      <c r="E82" s="4">
        <v>0</v>
      </c>
      <c r="F82" s="4">
        <v>75</v>
      </c>
      <c r="G82" s="4">
        <f t="shared" si="36"/>
        <v>165</v>
      </c>
      <c r="H82" s="4">
        <f t="shared" si="37"/>
        <v>240</v>
      </c>
      <c r="I82" s="4">
        <v>8</v>
      </c>
      <c r="J82" s="6" t="s">
        <v>12</v>
      </c>
      <c r="K82" s="73">
        <f t="shared" si="32"/>
        <v>555</v>
      </c>
      <c r="L82" s="73">
        <f t="shared" si="33"/>
        <v>0</v>
      </c>
      <c r="M82" s="73">
        <f t="shared" si="34"/>
        <v>555</v>
      </c>
      <c r="N82" s="7" t="e">
        <f>IF(O82=""," ",VLOOKUP(O82,'[8]2012 личен състав ОТД'!$A:$AO,2,FALSE))</f>
        <v>#N/A</v>
      </c>
      <c r="O82" s="3" t="e">
        <f>IF(A82=""," ",VLOOKUP(A82,'Български и испански език'!A:O,15,FALSE))</f>
        <v>#N/A</v>
      </c>
      <c r="P82" s="7" t="e">
        <f>IF(O82=""," ",VLOOKUP(O82,'[8]2012 личен състав ОТД'!$A:$AO,13,FALSE))</f>
        <v>#N/A</v>
      </c>
      <c r="Q82" s="7" t="e">
        <f>IF(O82=""," ",VLOOKUP(O82,'[8]2012 личен състав ОТД'!$A:$AO,12,FALSE))</f>
        <v>#N/A</v>
      </c>
      <c r="R82" s="7" t="e">
        <f>IF(A82=""," ",VLOOKUP(A82,'Профилиращ лист'!A:B,2,FALSE))</f>
        <v>#N/A</v>
      </c>
      <c r="T82" s="7" t="e">
        <f t="shared" ca="1" si="31"/>
        <v>#N/A</v>
      </c>
    </row>
    <row r="83" spans="1:20" x14ac:dyDescent="0.25">
      <c r="A83" s="8" t="s">
        <v>71</v>
      </c>
      <c r="B83" s="4">
        <v>45</v>
      </c>
      <c r="C83" s="4">
        <v>45</v>
      </c>
      <c r="D83" s="4">
        <v>0</v>
      </c>
      <c r="E83" s="4">
        <v>0</v>
      </c>
      <c r="F83" s="4">
        <v>45</v>
      </c>
      <c r="G83" s="4">
        <f t="shared" si="36"/>
        <v>75</v>
      </c>
      <c r="H83" s="4">
        <f t="shared" si="37"/>
        <v>120</v>
      </c>
      <c r="I83" s="4">
        <v>4</v>
      </c>
      <c r="J83" s="4" t="s">
        <v>12</v>
      </c>
      <c r="K83" s="73">
        <f t="shared" si="32"/>
        <v>45</v>
      </c>
      <c r="L83" s="73">
        <f t="shared" si="33"/>
        <v>0</v>
      </c>
      <c r="M83" s="73">
        <f t="shared" si="34"/>
        <v>45</v>
      </c>
      <c r="N83" s="7" t="str">
        <f>IF(O83=""," ",VLOOKUP(O83,'[8]2012 личен състав ОТД'!$A:$AO,2,FALSE))</f>
        <v xml:space="preserve">   </v>
      </c>
      <c r="O83" s="3">
        <f>IF(A83=""," ",VLOOKUP(A83,'Български и испански език'!A:O,15,FALSE))</f>
        <v>0</v>
      </c>
      <c r="P83" s="7">
        <f>IF(O83=""," ",VLOOKUP(O83,'[8]2012 личен състав ОТД'!$A:$AO,13,FALSE))</f>
        <v>0</v>
      </c>
      <c r="Q83" s="7">
        <f>IF(O83=""," ",VLOOKUP(O83,'[8]2012 личен състав ОТД'!$A:$AO,12,FALSE))</f>
        <v>0</v>
      </c>
      <c r="R83" s="7" t="str">
        <f>IF(A83=""," ",VLOOKUP(A83,'Профилиращ лист'!A:B,2,FALSE))</f>
        <v>ПЕД</v>
      </c>
      <c r="T83" s="7">
        <f t="shared" ca="1" si="31"/>
        <v>2013</v>
      </c>
    </row>
    <row r="84" spans="1:20" x14ac:dyDescent="0.25">
      <c r="A84" s="8" t="s">
        <v>203</v>
      </c>
      <c r="B84" s="4">
        <v>30</v>
      </c>
      <c r="C84" s="4">
        <v>30</v>
      </c>
      <c r="D84" s="4">
        <v>0</v>
      </c>
      <c r="E84" s="4">
        <v>0</v>
      </c>
      <c r="F84" s="4">
        <v>30</v>
      </c>
      <c r="G84" s="4">
        <f t="shared" si="36"/>
        <v>90</v>
      </c>
      <c r="H84" s="4">
        <f t="shared" si="37"/>
        <v>120</v>
      </c>
      <c r="I84" s="4">
        <v>4</v>
      </c>
      <c r="J84" s="6" t="s">
        <v>12</v>
      </c>
      <c r="K84" s="73">
        <f t="shared" si="32"/>
        <v>30</v>
      </c>
      <c r="L84" s="73">
        <f t="shared" si="33"/>
        <v>0</v>
      </c>
      <c r="M84" s="73">
        <f t="shared" si="34"/>
        <v>30</v>
      </c>
      <c r="N84" s="7" t="e">
        <f>IF(O84=""," ",VLOOKUP(O84,'[8]2012 личен състав ОТД'!$A:$AO,2,FALSE))</f>
        <v>#N/A</v>
      </c>
      <c r="O84" s="3" t="e">
        <f>IF(A84=""," ",VLOOKUP(A84,'Български и испански език'!A:O,15,FALSE))</f>
        <v>#N/A</v>
      </c>
      <c r="P84" s="7" t="e">
        <f>IF(O84=""," ",VLOOKUP(O84,'[8]2012 личен състав ОТД'!$A:$AO,13,FALSE))</f>
        <v>#N/A</v>
      </c>
      <c r="Q84" s="7" t="e">
        <f>IF(O84=""," ",VLOOKUP(O84,'[8]2012 личен състав ОТД'!$A:$AO,12,FALSE))</f>
        <v>#N/A</v>
      </c>
      <c r="R84" s="7" t="e">
        <f>IF(A84=""," ",VLOOKUP(A84,'Профилиращ лист'!A:B,2,FALSE))</f>
        <v>#N/A</v>
      </c>
      <c r="T84" s="7" t="e">
        <f t="shared" ca="1" si="31"/>
        <v>#N/A</v>
      </c>
    </row>
    <row r="85" spans="1:20" x14ac:dyDescent="0.25">
      <c r="A85" s="8" t="s">
        <v>74</v>
      </c>
      <c r="B85" s="4">
        <v>30</v>
      </c>
      <c r="C85" s="4">
        <v>45</v>
      </c>
      <c r="D85" s="4">
        <v>30</v>
      </c>
      <c r="E85" s="4">
        <v>15</v>
      </c>
      <c r="F85" s="4">
        <v>0</v>
      </c>
      <c r="G85" s="4">
        <f t="shared" si="36"/>
        <v>75</v>
      </c>
      <c r="H85" s="4">
        <f t="shared" si="37"/>
        <v>120</v>
      </c>
      <c r="I85" s="4">
        <v>4</v>
      </c>
      <c r="J85" s="4" t="s">
        <v>12</v>
      </c>
      <c r="K85" s="73">
        <f t="shared" si="32"/>
        <v>45</v>
      </c>
      <c r="L85" s="73">
        <f t="shared" si="33"/>
        <v>30</v>
      </c>
      <c r="M85" s="73">
        <f t="shared" si="34"/>
        <v>15</v>
      </c>
      <c r="N85" s="7" t="str">
        <f>IF(O85=""," ",VLOOKUP(O85,'[8]2012 личен състав ОТД'!$A:$AO,2,FALSE))</f>
        <v>доц. дфн Вера Маровска</v>
      </c>
      <c r="O85" s="3" t="str">
        <f>IF(A85=""," ",VLOOKUP(A85,'Български и испански език'!A:O,15,FALSE))</f>
        <v>маровска</v>
      </c>
      <c r="P85" s="7">
        <f>IF(O85=""," ",VLOOKUP(O85,'[8]2012 личен състав ОТД'!$A:$AO,13,FALSE))</f>
        <v>1954</v>
      </c>
      <c r="Q85" s="7" t="str">
        <f>IF(O85=""," ",VLOOKUP(O85,'[8]2012 личен състав ОТД'!$A:$AO,12,FALSE))</f>
        <v>ОТД</v>
      </c>
      <c r="R85" s="7" t="str">
        <f>IF(A85=""," ",VLOOKUP(A85,'Профилиращ лист'!A:B,2,FALSE))</f>
        <v>СПЕ</v>
      </c>
      <c r="T85" s="7">
        <f t="shared" ca="1" si="31"/>
        <v>59</v>
      </c>
    </row>
    <row r="86" spans="1:20" x14ac:dyDescent="0.25">
      <c r="A86" s="8" t="s">
        <v>72</v>
      </c>
      <c r="B86" s="4">
        <v>15</v>
      </c>
      <c r="C86" s="4">
        <v>15</v>
      </c>
      <c r="D86" s="4">
        <v>0</v>
      </c>
      <c r="E86" s="4">
        <v>15</v>
      </c>
      <c r="F86" s="4">
        <v>0</v>
      </c>
      <c r="G86" s="4">
        <f t="shared" ref="G86" si="38">H86-C86</f>
        <v>45</v>
      </c>
      <c r="H86" s="4">
        <f t="shared" ref="H86" si="39">I86*30</f>
        <v>60</v>
      </c>
      <c r="I86" s="4">
        <v>2</v>
      </c>
      <c r="J86" s="4" t="s">
        <v>18</v>
      </c>
      <c r="K86" s="73">
        <f t="shared" ref="K86:K94" si="40">SUMIF(A:A,A86,C:C)</f>
        <v>15</v>
      </c>
      <c r="L86" s="73">
        <f t="shared" ref="L86:L94" si="41">SUMIF(A:A,A86,D:D)</f>
        <v>0</v>
      </c>
      <c r="M86" s="73">
        <f t="shared" ref="M86:M94" si="42">SUMIF(A:A,A86,E:E)+SUMIF(A:A,A86,F:F)</f>
        <v>15</v>
      </c>
      <c r="N86" s="7" t="str">
        <f>IF(O86=""," ",VLOOKUP(O86,'[8]2012 личен състав ОТД'!$A:$AO,2,FALSE))</f>
        <v xml:space="preserve">   </v>
      </c>
      <c r="O86" s="3">
        <f>IF(A86=""," ",VLOOKUP(A86,'Български и испански език'!A:O,15,FALSE))</f>
        <v>0</v>
      </c>
      <c r="P86" s="7">
        <f>IF(O86=""," ",VLOOKUP(O86,'[8]2012 личен състав ОТД'!$A:$AO,13,FALSE))</f>
        <v>0</v>
      </c>
      <c r="Q86" s="7">
        <f>IF(O86=""," ",VLOOKUP(O86,'[8]2012 личен състав ОТД'!$A:$AO,12,FALSE))</f>
        <v>0</v>
      </c>
      <c r="R86" s="7" t="str">
        <f>IF(A86=""," ",VLOOKUP(A86,'Профилиращ лист'!A:B,2,FALSE))</f>
        <v>ФД</v>
      </c>
      <c r="T86" s="7">
        <f t="shared" ca="1" si="31"/>
        <v>2013</v>
      </c>
    </row>
    <row r="87" spans="1:20" x14ac:dyDescent="0.25">
      <c r="B87" s="9">
        <f t="shared" ref="B87:H87" si="43">SUM(B80:B86)</f>
        <v>270</v>
      </c>
      <c r="C87" s="9">
        <f t="shared" si="43"/>
        <v>285</v>
      </c>
      <c r="D87" s="9">
        <f t="shared" si="43"/>
        <v>75</v>
      </c>
      <c r="E87" s="9">
        <f t="shared" si="43"/>
        <v>60</v>
      </c>
      <c r="F87" s="9">
        <f t="shared" si="43"/>
        <v>150</v>
      </c>
      <c r="G87" s="9">
        <f t="shared" si="43"/>
        <v>615</v>
      </c>
      <c r="H87" s="9">
        <f t="shared" si="43"/>
        <v>900</v>
      </c>
      <c r="I87" s="9">
        <f>SUM(I80:I86)</f>
        <v>30</v>
      </c>
      <c r="J87" s="6"/>
      <c r="K87" s="73">
        <f t="shared" si="40"/>
        <v>0</v>
      </c>
      <c r="L87" s="73">
        <f t="shared" si="41"/>
        <v>0</v>
      </c>
      <c r="M87" s="73">
        <f t="shared" si="42"/>
        <v>0</v>
      </c>
      <c r="N87" s="7" t="e">
        <f>IF(O87=""," ",VLOOKUP(O87,'[8]2012 личен състав ОТД'!$A:$AO,2,FALSE))</f>
        <v>#N/A</v>
      </c>
      <c r="O87" s="3" t="str">
        <f>IF(A87=""," ",VLOOKUP(A87,'Български и испански език'!A:O,15,FALSE))</f>
        <v xml:space="preserve"> </v>
      </c>
      <c r="P87" s="7" t="e">
        <f>IF(O87=""," ",VLOOKUP(O87,'[8]2012 личен състав ОТД'!$A:$AO,13,FALSE))</f>
        <v>#N/A</v>
      </c>
      <c r="Q87" s="7" t="e">
        <f>IF(O87=""," ",VLOOKUP(O87,'[8]2012 личен състав ОТД'!$A:$AO,12,FALSE))</f>
        <v>#N/A</v>
      </c>
      <c r="R87" s="7" t="str">
        <f>IF(A87=""," ",VLOOKUP(A87,'Профилиращ лист'!A:B,2,FALSE))</f>
        <v xml:space="preserve"> </v>
      </c>
      <c r="T87" s="7" t="e">
        <f t="shared" ca="1" si="31"/>
        <v>#N/A</v>
      </c>
    </row>
    <row r="88" spans="1:20" x14ac:dyDescent="0.25">
      <c r="A88" s="1" t="s">
        <v>75</v>
      </c>
      <c r="B88" s="1"/>
      <c r="J88" s="14"/>
      <c r="K88" s="73">
        <f t="shared" si="40"/>
        <v>0</v>
      </c>
      <c r="L88" s="73">
        <f t="shared" si="41"/>
        <v>0</v>
      </c>
      <c r="M88" s="73">
        <f t="shared" si="42"/>
        <v>0</v>
      </c>
      <c r="N88" s="7" t="str">
        <f>IF(O88=""," ",VLOOKUP(O88,'[8]2012 личен състав ОТД'!$A:$AO,2,FALSE))</f>
        <v xml:space="preserve"> </v>
      </c>
      <c r="O88" s="3"/>
      <c r="P88" s="7" t="str">
        <f>IF(O88=""," ",VLOOKUP(O88,'[8]2012 личен състав ОТД'!$A:$AO,13,FALSE))</f>
        <v xml:space="preserve"> </v>
      </c>
      <c r="Q88" s="7" t="str">
        <f>IF(O88=""," ",VLOOKUP(O88,'[8]2012 личен състав ОТД'!$A:$AO,12,FALSE))</f>
        <v xml:space="preserve"> </v>
      </c>
      <c r="T88" s="7" t="e">
        <f t="shared" ca="1" si="31"/>
        <v>#VALUE!</v>
      </c>
    </row>
    <row r="89" spans="1:20" x14ac:dyDescent="0.25">
      <c r="A89" s="8" t="s">
        <v>77</v>
      </c>
      <c r="I89" s="4">
        <v>2</v>
      </c>
      <c r="J89" s="6" t="s">
        <v>12</v>
      </c>
      <c r="K89" s="73">
        <f t="shared" si="40"/>
        <v>0</v>
      </c>
      <c r="L89" s="73">
        <f t="shared" si="41"/>
        <v>0</v>
      </c>
      <c r="M89" s="73">
        <f t="shared" si="42"/>
        <v>0</v>
      </c>
      <c r="N89" s="7" t="str">
        <f>IF(O89=""," ",VLOOKUP(O89,'[8]2012 личен състав ОТД'!$A:$AO,2,FALSE))</f>
        <v xml:space="preserve"> </v>
      </c>
      <c r="O89" s="3"/>
      <c r="P89" s="7" t="str">
        <f>IF(O89=""," ",VLOOKUP(O89,'[8]2012 личен състав ОТД'!$A:$AO,13,FALSE))</f>
        <v xml:space="preserve"> </v>
      </c>
      <c r="Q89" s="7" t="str">
        <f>IF(O89=""," ",VLOOKUP(O89,'[8]2012 личен състав ОТД'!$A:$AO,12,FALSE))</f>
        <v xml:space="preserve"> </v>
      </c>
      <c r="T89" s="7" t="e">
        <f t="shared" ca="1" si="31"/>
        <v>#VALUE!</v>
      </c>
    </row>
    <row r="90" spans="1:20" x14ac:dyDescent="0.25">
      <c r="A90" s="8" t="s">
        <v>204</v>
      </c>
      <c r="I90" s="4">
        <v>2</v>
      </c>
      <c r="J90" s="6" t="s">
        <v>12</v>
      </c>
      <c r="K90" s="73">
        <f t="shared" si="40"/>
        <v>0</v>
      </c>
      <c r="L90" s="73">
        <f t="shared" si="41"/>
        <v>0</v>
      </c>
      <c r="M90" s="73">
        <f t="shared" si="42"/>
        <v>0</v>
      </c>
      <c r="N90" s="7" t="str">
        <f>IF(O90=""," ",VLOOKUP(O90,'[8]2012 личен състав ОТД'!$A:$AO,2,FALSE))</f>
        <v xml:space="preserve"> </v>
      </c>
      <c r="O90" s="3"/>
      <c r="P90" s="7" t="str">
        <f>IF(O90=""," ",VLOOKUP(O90,'[8]2012 личен състав ОТД'!$A:$AO,13,FALSE))</f>
        <v xml:space="preserve"> </v>
      </c>
      <c r="Q90" s="7" t="str">
        <f>IF(O90=""," ",VLOOKUP(O90,'[8]2012 личен състав ОТД'!$A:$AO,12,FALSE))</f>
        <v xml:space="preserve"> </v>
      </c>
      <c r="T90" s="7" t="e">
        <f t="shared" ca="1" si="31"/>
        <v>#VALUE!</v>
      </c>
    </row>
    <row r="91" spans="1:20" x14ac:dyDescent="0.25">
      <c r="A91" s="8" t="s">
        <v>79</v>
      </c>
      <c r="I91" s="4">
        <v>3</v>
      </c>
      <c r="J91" s="6" t="s">
        <v>12</v>
      </c>
      <c r="K91" s="73">
        <f t="shared" si="40"/>
        <v>0</v>
      </c>
      <c r="L91" s="73">
        <f t="shared" si="41"/>
        <v>0</v>
      </c>
      <c r="M91" s="73">
        <f t="shared" si="42"/>
        <v>0</v>
      </c>
      <c r="N91" s="7" t="str">
        <f>IF(O91=""," ",VLOOKUP(O91,'[8]2012 личен състав ОТД'!$A:$AO,2,FALSE))</f>
        <v xml:space="preserve"> </v>
      </c>
      <c r="O91" s="3"/>
      <c r="P91" s="7" t="str">
        <f>IF(O91=""," ",VLOOKUP(O91,'[8]2012 личен състав ОТД'!$A:$AO,13,FALSE))</f>
        <v xml:space="preserve"> </v>
      </c>
      <c r="Q91" s="7" t="str">
        <f>IF(O91=""," ",VLOOKUP(O91,'[8]2012 личен състав ОТД'!$A:$AO,12,FALSE))</f>
        <v xml:space="preserve"> </v>
      </c>
      <c r="T91" s="7" t="e">
        <f t="shared" ca="1" si="31"/>
        <v>#VALUE!</v>
      </c>
    </row>
    <row r="92" spans="1:20" x14ac:dyDescent="0.25">
      <c r="A92" s="8" t="s">
        <v>205</v>
      </c>
      <c r="I92" s="4">
        <v>3</v>
      </c>
      <c r="J92" s="6" t="s">
        <v>12</v>
      </c>
      <c r="K92" s="73">
        <f t="shared" si="40"/>
        <v>0</v>
      </c>
      <c r="L92" s="73">
        <f t="shared" si="41"/>
        <v>0</v>
      </c>
      <c r="M92" s="73">
        <f t="shared" si="42"/>
        <v>0</v>
      </c>
      <c r="N92" s="7" t="str">
        <f>IF(O92=""," ",VLOOKUP(O92,'[8]2012 личен състав ОТД'!$A:$AO,2,FALSE))</f>
        <v xml:space="preserve"> </v>
      </c>
      <c r="O92" s="3"/>
      <c r="P92" s="7" t="str">
        <f>IF(O92=""," ",VLOOKUP(O92,'[8]2012 личен състав ОТД'!$A:$AO,13,FALSE))</f>
        <v xml:space="preserve"> </v>
      </c>
      <c r="Q92" s="7" t="str">
        <f>IF(O92=""," ",VLOOKUP(O92,'[8]2012 личен състав ОТД'!$A:$AO,12,FALSE))</f>
        <v xml:space="preserve"> </v>
      </c>
      <c r="T92" s="7" t="e">
        <f t="shared" ca="1" si="31"/>
        <v>#VALUE!</v>
      </c>
    </row>
    <row r="93" spans="1:20" x14ac:dyDescent="0.25">
      <c r="I93" s="11">
        <f>SUM(I89:I92)</f>
        <v>10</v>
      </c>
      <c r="J93" s="6"/>
      <c r="K93" s="73">
        <f t="shared" si="40"/>
        <v>0</v>
      </c>
      <c r="L93" s="73">
        <f t="shared" si="41"/>
        <v>0</v>
      </c>
      <c r="M93" s="73">
        <f t="shared" si="42"/>
        <v>0</v>
      </c>
      <c r="N93" s="7" t="str">
        <f>IF(O93=""," ",VLOOKUP(O93,'[8]2012 личен състав ОТД'!$A:$AO,2,FALSE))</f>
        <v xml:space="preserve"> </v>
      </c>
      <c r="O93" s="3"/>
      <c r="P93" s="7" t="str">
        <f>IF(O93=""," ",VLOOKUP(O93,'[8]2012 личен състав ОТД'!$A:$AO,13,FALSE))</f>
        <v xml:space="preserve"> </v>
      </c>
      <c r="Q93" s="7" t="str">
        <f>IF(O93=""," ",VLOOKUP(O93,'[8]2012 личен състав ОТД'!$A:$AO,12,FALSE))</f>
        <v xml:space="preserve"> </v>
      </c>
      <c r="T93" s="7" t="e">
        <f t="shared" ca="1" si="31"/>
        <v>#VALUE!</v>
      </c>
    </row>
    <row r="94" spans="1:20" x14ac:dyDescent="0.25">
      <c r="A94" s="12" t="s">
        <v>80</v>
      </c>
      <c r="B94" s="9">
        <f t="shared" ref="B94:H94" si="44">B87+B78+B65+B55+B42+B31+B20+B11</f>
        <v>2565</v>
      </c>
      <c r="C94" s="9">
        <f t="shared" si="44"/>
        <v>2925</v>
      </c>
      <c r="D94" s="9">
        <f t="shared" si="44"/>
        <v>1350</v>
      </c>
      <c r="E94" s="9">
        <f t="shared" si="44"/>
        <v>555</v>
      </c>
      <c r="F94" s="9">
        <f t="shared" si="44"/>
        <v>1020</v>
      </c>
      <c r="G94" s="9">
        <f t="shared" si="44"/>
        <v>4305</v>
      </c>
      <c r="H94" s="9">
        <f t="shared" si="44"/>
        <v>7230</v>
      </c>
      <c r="I94" s="11">
        <f>I87+I78+I65+I55+I42+I31+I20+I11+I93</f>
        <v>251</v>
      </c>
      <c r="K94" s="73">
        <f t="shared" si="40"/>
        <v>2925</v>
      </c>
      <c r="L94" s="73">
        <f t="shared" si="41"/>
        <v>1350</v>
      </c>
      <c r="M94" s="73">
        <f t="shared" si="42"/>
        <v>1575</v>
      </c>
      <c r="N94" s="7" t="str">
        <f>IF(O94=""," ",VLOOKUP(O94,'[8]2012 личен състав ОТД'!$A:$AO,2,FALSE))</f>
        <v xml:space="preserve"> </v>
      </c>
      <c r="O94" s="3"/>
      <c r="P94" s="7" t="str">
        <f>IF(O94=""," ",VLOOKUP(O94,'[8]2012 личен състав ОТД'!$A:$AO,13,FALSE))</f>
        <v xml:space="preserve"> </v>
      </c>
      <c r="Q94" s="7" t="str">
        <f>IF(O94=""," ",VLOOKUP(O94,'[8]2012 личен състав ОТД'!$A:$AO,12,FALSE))</f>
        <v xml:space="preserve"> </v>
      </c>
      <c r="T94" s="7" t="e">
        <f t="shared" ca="1" si="31"/>
        <v>#VALUE!</v>
      </c>
    </row>
    <row r="95" spans="1:20" x14ac:dyDescent="0.25">
      <c r="C95" s="4">
        <f>C94/120</f>
        <v>24.375</v>
      </c>
      <c r="D95" s="4">
        <f t="shared" ref="D95:I95" si="45">D94/120</f>
        <v>11.25</v>
      </c>
      <c r="E95" s="4">
        <f t="shared" si="45"/>
        <v>4.625</v>
      </c>
      <c r="F95" s="4">
        <f t="shared" si="45"/>
        <v>8.5</v>
      </c>
      <c r="G95" s="4">
        <f t="shared" si="45"/>
        <v>35.875</v>
      </c>
      <c r="H95" s="4">
        <f t="shared" si="45"/>
        <v>60.25</v>
      </c>
      <c r="I95" s="5">
        <f t="shared" si="45"/>
        <v>2.0916666666666668</v>
      </c>
      <c r="N95" s="7" t="str">
        <f>IF(O95=""," ",VLOOKUP(O95,'[8]2012 личен състав ОТД'!$A:$AO,2,FALSE))</f>
        <v xml:space="preserve"> </v>
      </c>
      <c r="O95" s="3"/>
      <c r="P95" s="7" t="str">
        <f>IF(O95=""," ",VLOOKUP(O95,'[8]2012 личен състав ОТД'!$A:$AO,13,FALSE))</f>
        <v xml:space="preserve"> </v>
      </c>
      <c r="Q95" s="7" t="str">
        <f>IF(O95=""," ",VLOOKUP(O95,'[8]2012 личен състав ОТД'!$A:$AO,12,FALSE))</f>
        <v xml:space="preserve"> </v>
      </c>
      <c r="T95" s="7" t="e">
        <f t="shared" ca="1" si="31"/>
        <v>#VALUE!</v>
      </c>
    </row>
    <row r="96" spans="1:20" x14ac:dyDescent="0.25">
      <c r="N96" s="7" t="str">
        <f>IF(O96=""," ",VLOOKUP(O96,'[8]2012 личен състав ОТД'!$A:$AO,2,FALSE))</f>
        <v xml:space="preserve"> </v>
      </c>
      <c r="O96" s="3"/>
      <c r="P96" s="7" t="str">
        <f>IF(O96=""," ",VLOOKUP(O96,'[8]2012 личен състав ОТД'!$A:$AO,13,FALSE))</f>
        <v xml:space="preserve"> </v>
      </c>
      <c r="Q96" s="7" t="str">
        <f>IF(O96=""," ",VLOOKUP(O96,'[8]2012 личен състав ОТД'!$A:$AO,12,FALSE))</f>
        <v xml:space="preserve"> </v>
      </c>
      <c r="R96" s="7" t="str">
        <f>IF(A96=""," ",VLOOKUP(A96,'Профилиращ лист'!A:B,2,FALSE))</f>
        <v xml:space="preserve"> </v>
      </c>
    </row>
    <row r="97" spans="14:18" x14ac:dyDescent="0.25">
      <c r="N97" s="7" t="str">
        <f>IF(O97=""," ",VLOOKUP(O97,'[8]2012 личен състав ОТД'!$A:$AO,2,FALSE))</f>
        <v xml:space="preserve"> </v>
      </c>
      <c r="O97" s="3"/>
      <c r="P97" s="7" t="str">
        <f>IF(O97=""," ",VLOOKUP(O97,'[8]2012 личен състав ОТД'!$A:$AO,13,FALSE))</f>
        <v xml:space="preserve"> </v>
      </c>
      <c r="Q97" s="7" t="str">
        <f>IF(O97=""," ",VLOOKUP(O97,'[8]2012 личен състав ОТД'!$A:$AO,12,FALSE))</f>
        <v xml:space="preserve"> </v>
      </c>
      <c r="R97" s="7" t="str">
        <f>IF(A97=""," ",VLOOKUP(A97,'Профилиращ лист'!A:B,2,FALSE))</f>
        <v xml:space="preserve"> </v>
      </c>
    </row>
    <row r="98" spans="14:18" x14ac:dyDescent="0.25">
      <c r="N98" s="7" t="str">
        <f>IF(O98=""," ",VLOOKUP(O98,'[8]2012 личен състав ОТД'!$A:$AO,2,FALSE))</f>
        <v xml:space="preserve"> </v>
      </c>
      <c r="O98" s="3"/>
      <c r="P98" s="7" t="str">
        <f>IF(O98=""," ",VLOOKUP(O98,'[8]2012 личен състав ОТД'!$A:$AO,13,FALSE))</f>
        <v xml:space="preserve"> </v>
      </c>
      <c r="Q98" s="7" t="str">
        <f>IF(O98=""," ",VLOOKUP(O98,'[8]2012 личен състав ОТД'!$A:$AO,12,FALSE))</f>
        <v xml:space="preserve"> </v>
      </c>
      <c r="R98" s="7" t="str">
        <f>IF(A98=""," ",VLOOKUP(A98,'Профилиращ лист'!A:B,2,FALSE))</f>
        <v xml:space="preserve"> </v>
      </c>
    </row>
    <row r="99" spans="14:18" x14ac:dyDescent="0.25">
      <c r="N99" s="7" t="str">
        <f>IF(O99=""," ",VLOOKUP(O99,'[8]2012 личен състав ОТД'!$A:$AO,2,FALSE))</f>
        <v xml:space="preserve"> </v>
      </c>
      <c r="O99" s="3"/>
      <c r="P99" s="7" t="str">
        <f>IF(O99=""," ",VLOOKUP(O99,'[8]2012 личен състав ОТД'!$A:$AO,13,FALSE))</f>
        <v xml:space="preserve"> </v>
      </c>
      <c r="Q99" s="7" t="str">
        <f>IF(O99=""," ",VLOOKUP(O99,'[8]2012 личен състав ОТД'!$A:$AO,12,FALSE))</f>
        <v xml:space="preserve"> </v>
      </c>
      <c r="R99" s="7" t="str">
        <f>IF(A99=""," ",VLOOKUP(A99,'Профилиращ лист'!A:B,2,FALSE))</f>
        <v xml:space="preserve"> </v>
      </c>
    </row>
    <row r="100" spans="14:18" x14ac:dyDescent="0.25">
      <c r="N100" s="7" t="str">
        <f>IF(O100=""," ",VLOOKUP(O100,'[8]2012 личен състав ОТД'!$A:$AO,2,FALSE))</f>
        <v xml:space="preserve"> </v>
      </c>
      <c r="O100" s="3"/>
      <c r="P100" s="7" t="str">
        <f>IF(O100=""," ",VLOOKUP(O100,'[8]2012 личен състав ОТД'!$A:$AO,13,FALSE))</f>
        <v xml:space="preserve"> </v>
      </c>
      <c r="Q100" s="7" t="str">
        <f>IF(O100=""," ",VLOOKUP(O100,'[8]2012 личен състав ОТД'!$A:$AO,12,FALSE))</f>
        <v xml:space="preserve"> </v>
      </c>
      <c r="R100" s="7" t="str">
        <f>IF(A100=""," ",VLOOKUP(A100,'Профилиращ лист'!A:B,2,FALSE))</f>
        <v xml:space="preserve"> </v>
      </c>
    </row>
    <row r="101" spans="14:18" x14ac:dyDescent="0.25">
      <c r="N101" s="7" t="str">
        <f>IF(O101=""," ",VLOOKUP(O101,'[8]2012 личен състав ОТД'!$A:$AO,2,FALSE))</f>
        <v xml:space="preserve"> </v>
      </c>
      <c r="O101" s="3"/>
      <c r="P101" s="7" t="str">
        <f>IF(O101=""," ",VLOOKUP(O101,'[8]2012 личен състав ОТД'!$A:$AO,13,FALSE))</f>
        <v xml:space="preserve"> </v>
      </c>
      <c r="Q101" s="7" t="str">
        <f>IF(O101=""," ",VLOOKUP(O101,'[8]2012 личен състав ОТД'!$A:$AO,12,FALSE))</f>
        <v xml:space="preserve"> </v>
      </c>
      <c r="R101" s="7" t="str">
        <f>IF(A101=""," ",VLOOKUP(A101,'Профилиращ лист'!A:B,2,FALSE))</f>
        <v xml:space="preserve"> </v>
      </c>
    </row>
    <row r="102" spans="14:18" x14ac:dyDescent="0.25">
      <c r="N102" s="7" t="str">
        <f>IF(O102=""," ",VLOOKUP(O102,'[8]2012 личен състав ОТД'!$A:$AO,2,FALSE))</f>
        <v xml:space="preserve"> </v>
      </c>
      <c r="O102" s="3"/>
      <c r="P102" s="7" t="str">
        <f>IF(O102=""," ",VLOOKUP(O102,'[8]2012 личен състав ОТД'!$A:$AO,13,FALSE))</f>
        <v xml:space="preserve"> </v>
      </c>
      <c r="Q102" s="7" t="str">
        <f>IF(O102=""," ",VLOOKUP(O102,'[8]2012 личен състав ОТД'!$A:$AO,12,FALSE))</f>
        <v xml:space="preserve"> </v>
      </c>
      <c r="R102" s="7" t="str">
        <f>IF(A102=""," ",VLOOKUP(A102,'Профилиращ лист'!A:B,2,FALSE))</f>
        <v xml:space="preserve"> </v>
      </c>
    </row>
    <row r="103" spans="14:18" x14ac:dyDescent="0.25">
      <c r="N103" s="7" t="str">
        <f>IF(O103=""," ",VLOOKUP(O103,'[8]2012 личен състав ОТД'!$A:$AO,2,FALSE))</f>
        <v xml:space="preserve"> </v>
      </c>
      <c r="O103" s="3"/>
      <c r="P103" s="7" t="str">
        <f>IF(O103=""," ",VLOOKUP(O103,'[8]2012 личен състав ОТД'!$A:$AO,13,FALSE))</f>
        <v xml:space="preserve"> </v>
      </c>
      <c r="Q103" s="7" t="str">
        <f>IF(O103=""," ",VLOOKUP(O103,'[8]2012 личен състав ОТД'!$A:$AO,12,FALSE))</f>
        <v xml:space="preserve"> </v>
      </c>
      <c r="R103" s="7" t="str">
        <f>IF(A103=""," ",VLOOKUP(A103,'Профилиращ лист'!A:B,2,FALSE))</f>
        <v xml:space="preserve"> </v>
      </c>
    </row>
    <row r="104" spans="14:18" x14ac:dyDescent="0.25">
      <c r="N104" s="7" t="str">
        <f>IF(O104=""," ",VLOOKUP(O104,'[8]2012 личен състав ОТД'!$A:$AO,2,FALSE))</f>
        <v xml:space="preserve"> </v>
      </c>
      <c r="O104" s="3"/>
      <c r="P104" s="7" t="str">
        <f>IF(O104=""," ",VLOOKUP(O104,'[8]2012 личен състав ОТД'!$A:$AO,13,FALSE))</f>
        <v xml:space="preserve"> </v>
      </c>
      <c r="Q104" s="7" t="str">
        <f>IF(O104=""," ",VLOOKUP(O104,'[8]2012 личен състав ОТД'!$A:$AO,12,FALSE))</f>
        <v xml:space="preserve"> </v>
      </c>
      <c r="R104" s="7" t="str">
        <f>IF(A104=""," ",VLOOKUP(A104,'Профилиращ лист'!A:B,2,FALSE))</f>
        <v xml:space="preserve"> </v>
      </c>
    </row>
    <row r="105" spans="14:18" x14ac:dyDescent="0.25">
      <c r="N105" s="7" t="str">
        <f>IF(O105=""," ",VLOOKUP(O105,'[8]2012 личен състав ОТД'!$A:$AO,2,FALSE))</f>
        <v xml:space="preserve"> </v>
      </c>
      <c r="O105" s="3"/>
      <c r="P105" s="7" t="str">
        <f>IF(O105=""," ",VLOOKUP(O105,'[8]2012 личен състав ОТД'!$A:$AO,13,FALSE))</f>
        <v xml:space="preserve"> </v>
      </c>
      <c r="Q105" s="7" t="str">
        <f>IF(O105=""," ",VLOOKUP(O105,'[8]2012 личен състав ОТД'!$A:$AO,12,FALSE))</f>
        <v xml:space="preserve"> </v>
      </c>
      <c r="R105" s="7" t="str">
        <f>IF(A105=""," ",VLOOKUP(A105,'Профилиращ лист'!A:B,2,FALSE))</f>
        <v xml:space="preserve"> </v>
      </c>
    </row>
    <row r="106" spans="14:18" x14ac:dyDescent="0.25">
      <c r="N106" s="7" t="str">
        <f>IF(O106=""," ",VLOOKUP(O106,'[8]2012 личен състав ОТД'!$A:$AO,2,FALSE))</f>
        <v xml:space="preserve"> </v>
      </c>
      <c r="O106" s="3"/>
      <c r="P106" s="7" t="str">
        <f>IF(O106=""," ",VLOOKUP(O106,'[8]2012 личен състав ОТД'!$A:$AO,13,FALSE))</f>
        <v xml:space="preserve"> </v>
      </c>
      <c r="Q106" s="7" t="str">
        <f>IF(O106=""," ",VLOOKUP(O106,'[8]2012 личен състав ОТД'!$A:$AO,12,FALSE))</f>
        <v xml:space="preserve"> </v>
      </c>
      <c r="R106" s="7" t="str">
        <f>IF(A106=""," ",VLOOKUP(A106,'Профилиращ лист'!A:B,2,FALSE))</f>
        <v xml:space="preserve"> </v>
      </c>
    </row>
    <row r="107" spans="14:18" x14ac:dyDescent="0.25">
      <c r="N107" s="7" t="str">
        <f>IF(O107=""," ",VLOOKUP(O107,'[8]2012 личен състав ОТД'!$A:$AO,2,FALSE))</f>
        <v xml:space="preserve"> </v>
      </c>
      <c r="O107" s="3"/>
      <c r="P107" s="7" t="str">
        <f>IF(O107=""," ",VLOOKUP(O107,'[8]2012 личен състав ОТД'!$A:$AO,13,FALSE))</f>
        <v xml:space="preserve"> </v>
      </c>
      <c r="Q107" s="7" t="str">
        <f>IF(O107=""," ",VLOOKUP(O107,'[8]2012 личен състав ОТД'!$A:$AO,12,FALSE))</f>
        <v xml:space="preserve"> </v>
      </c>
      <c r="R107" s="7" t="str">
        <f>IF(A107=""," ",VLOOKUP(A107,'Профилиращ лист'!A:B,2,FALSE))</f>
        <v xml:space="preserve"> </v>
      </c>
    </row>
    <row r="108" spans="14:18" x14ac:dyDescent="0.25">
      <c r="N108" s="7" t="str">
        <f>IF(O108=""," ",VLOOKUP(O108,'[8]2012 личен състав ОТД'!$A:$AO,2,FALSE))</f>
        <v xml:space="preserve"> </v>
      </c>
      <c r="O108" s="3"/>
      <c r="P108" s="7" t="str">
        <f>IF(O108=""," ",VLOOKUP(O108,'[8]2012 личен състав ОТД'!$A:$AO,13,FALSE))</f>
        <v xml:space="preserve"> </v>
      </c>
      <c r="Q108" s="7" t="str">
        <f>IF(O108=""," ",VLOOKUP(O108,'[8]2012 личен състав ОТД'!$A:$AO,12,FALSE))</f>
        <v xml:space="preserve"> </v>
      </c>
      <c r="R108" s="7" t="str">
        <f>IF(A108=""," ",VLOOKUP(A108,'Профилиращ лист'!A:B,2,FALSE))</f>
        <v xml:space="preserve"> </v>
      </c>
    </row>
    <row r="109" spans="14:18" x14ac:dyDescent="0.25">
      <c r="N109" s="7" t="str">
        <f>IF(O109=""," ",VLOOKUP(O109,'[8]2012 личен състав ОТД'!$A:$AO,2,FALSE))</f>
        <v xml:space="preserve"> </v>
      </c>
      <c r="O109" s="3"/>
      <c r="P109" s="7" t="str">
        <f>IF(O109=""," ",VLOOKUP(O109,'[8]2012 личен състав ОТД'!$A:$AO,13,FALSE))</f>
        <v xml:space="preserve"> </v>
      </c>
      <c r="Q109" s="7" t="str">
        <f>IF(O109=""," ",VLOOKUP(O109,'[8]2012 личен състав ОТД'!$A:$AO,12,FALSE))</f>
        <v xml:space="preserve"> </v>
      </c>
      <c r="R109" s="7" t="str">
        <f>IF(A109=""," ",VLOOKUP(A109,'Профилиращ лист'!A:B,2,FALSE))</f>
        <v xml:space="preserve"> </v>
      </c>
    </row>
  </sheetData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2" fitToHeight="2" orientation="portrait" r:id="rId1"/>
  <headerFooter alignWithMargins="0">
    <oddHeader>&amp;LРедовно обучение,
бакалавърска степен&amp;C&amp;14УЧЕБЕН ПЛАН: &amp;A</oddHeader>
  </headerFooter>
  <rowBreaks count="1" manualBreakCount="1">
    <brk id="42" max="9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6" tint="-0.249977111117893"/>
  </sheetPr>
  <dimension ref="A1:AE109"/>
  <sheetViews>
    <sheetView zoomScale="70" zoomScaleNormal="70" workbookViewId="0">
      <pane xSplit="2" ySplit="1" topLeftCell="C2" activePane="bottomRight" state="frozen"/>
      <selection activeCell="T1" sqref="T1:T97"/>
      <selection pane="topRight" activeCell="T1" sqref="T1:T97"/>
      <selection pane="bottomLeft" activeCell="T1" sqref="T1:T97"/>
      <selection pane="bottomRight" activeCell="T1" sqref="T1:T97"/>
    </sheetView>
  </sheetViews>
  <sheetFormatPr defaultRowHeight="12.75" x14ac:dyDescent="0.2"/>
  <cols>
    <col min="1" max="1" width="56.42578125" style="17" customWidth="1"/>
    <col min="2" max="2" width="0" style="17" hidden="1" customWidth="1"/>
    <col min="3" max="3" width="5" style="17" hidden="1" customWidth="1"/>
    <col min="4" max="4" width="7" style="17" hidden="1" customWidth="1"/>
    <col min="5" max="5" width="4" style="17" hidden="1" customWidth="1"/>
    <col min="6" max="6" width="6" style="17" hidden="1" customWidth="1"/>
    <col min="7" max="8" width="5" style="17" hidden="1" customWidth="1"/>
    <col min="9" max="9" width="5.28515625" style="17" hidden="1" customWidth="1"/>
    <col min="10" max="10" width="0" style="17" hidden="1" customWidth="1"/>
    <col min="11" max="13" width="5.85546875" style="75" hidden="1" customWidth="1"/>
    <col min="14" max="14" width="28.42578125" style="17" hidden="1" customWidth="1"/>
    <col min="15" max="15" width="13.28515625" style="17" hidden="1" customWidth="1"/>
    <col min="16" max="17" width="10.7109375" style="17" hidden="1" customWidth="1"/>
    <col min="18" max="18" width="7.5703125" style="17" customWidth="1"/>
    <col min="19" max="20" width="14" style="17" customWidth="1"/>
    <col min="21" max="21" width="11.85546875" style="17" customWidth="1"/>
    <col min="22" max="16384" width="9.140625" style="17"/>
  </cols>
  <sheetData>
    <row r="1" spans="1:31" ht="15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08" t="s">
        <v>578</v>
      </c>
      <c r="T1" s="108" t="s">
        <v>629</v>
      </c>
      <c r="U1" s="112" t="s">
        <v>577</v>
      </c>
      <c r="V1" s="17" t="s">
        <v>255</v>
      </c>
      <c r="W1" s="17" t="s">
        <v>265</v>
      </c>
      <c r="X1" s="17" t="s">
        <v>253</v>
      </c>
      <c r="Y1" s="17" t="s">
        <v>263</v>
      </c>
      <c r="Z1" s="17" t="s">
        <v>272</v>
      </c>
      <c r="AA1" s="17" t="s">
        <v>406</v>
      </c>
      <c r="AB1" s="17" t="s">
        <v>573</v>
      </c>
      <c r="AC1" s="17" t="s">
        <v>607</v>
      </c>
      <c r="AD1" s="17" t="s">
        <v>575</v>
      </c>
      <c r="AE1" s="17" t="s">
        <v>576</v>
      </c>
    </row>
    <row r="2" spans="1:31" ht="15" x14ac:dyDescent="0.25">
      <c r="A2" s="1" t="s">
        <v>10</v>
      </c>
      <c r="B2" s="1"/>
      <c r="C2" s="4"/>
      <c r="D2" s="4"/>
      <c r="E2" s="4"/>
      <c r="F2" s="4"/>
      <c r="G2" s="4"/>
      <c r="H2" s="4"/>
      <c r="I2" s="5"/>
      <c r="J2" s="6">
        <v>1</v>
      </c>
      <c r="L2" s="75">
        <v>1</v>
      </c>
      <c r="O2" s="3">
        <f ca="1">YEAR(TODAY())</f>
        <v>2013</v>
      </c>
      <c r="P2" s="3">
        <f ca="1">O2-(AVERAGEIFS(P:P,L:L,"&gt;0",Q:Q,"ОТД"))</f>
        <v>52.900000000000091</v>
      </c>
      <c r="T2" s="17">
        <f ca="1">YEAR(TODAY())</f>
        <v>2013</v>
      </c>
      <c r="V2" s="17">
        <f ca="1">COUNTIFS(P:P,"&gt;1900",R:R,"СПЕ")</f>
        <v>16</v>
      </c>
      <c r="W2" s="17">
        <f ca="1">COUNTIFS(P:P,"&gt;1900",R:R,"ОФД")</f>
        <v>8</v>
      </c>
      <c r="X2" s="17">
        <f ca="1">COUNTIFS(P:P,"&gt;1900",R:R,"ПЕД")</f>
        <v>4</v>
      </c>
      <c r="Y2" s="17">
        <f>COUNTIF(R:R,"ПРА")</f>
        <v>0</v>
      </c>
      <c r="Z2" s="17">
        <f>COUNTIF(R:R,"ИЗБ")</f>
        <v>4</v>
      </c>
      <c r="AA2" s="17">
        <f>COUNTIF(R:R,"ФД")</f>
        <v>4</v>
      </c>
      <c r="AB2" s="17">
        <f ca="1">SUBTOTAL(9,V2:AA2)</f>
        <v>36</v>
      </c>
      <c r="AC2" s="17">
        <f ca="1">V2/AB2</f>
        <v>0.44444444444444442</v>
      </c>
      <c r="AD2" s="17">
        <f>(COUNTIFS(N:N,"проф.*",Q:Q,"ОТД")+COUNTIFS(N:N,"доц.*",Q:Q,"ОТД"))/COUNTIF(Q:Q,"ОТД")</f>
        <v>0.93333333333333335</v>
      </c>
      <c r="AE2" s="17">
        <f ca="1">COUNTIF(S:S,"У")/V2</f>
        <v>0</v>
      </c>
    </row>
    <row r="3" spans="1:31" ht="15" x14ac:dyDescent="0.2">
      <c r="A3" s="8" t="s">
        <v>11</v>
      </c>
      <c r="B3" s="8">
        <v>30</v>
      </c>
      <c r="C3" s="4">
        <v>30</v>
      </c>
      <c r="D3" s="4">
        <v>30</v>
      </c>
      <c r="E3" s="4">
        <v>0</v>
      </c>
      <c r="F3" s="4">
        <f>C3-D3-E3</f>
        <v>0</v>
      </c>
      <c r="G3" s="4">
        <f>H3-C3</f>
        <v>60</v>
      </c>
      <c r="H3" s="4">
        <f>I3*30</f>
        <v>90</v>
      </c>
      <c r="I3" s="4">
        <v>3</v>
      </c>
      <c r="J3" s="6" t="s">
        <v>12</v>
      </c>
      <c r="K3" s="75">
        <f>SUMIF(A:A,A3,C:C)</f>
        <v>30</v>
      </c>
      <c r="L3" s="75">
        <f>SUMIF(A:A,A3,D:D)</f>
        <v>30</v>
      </c>
      <c r="M3" s="75">
        <f>SUMIF(A:A,A3,E:E)+SUMIF(A:A,A3,F:F)</f>
        <v>0</v>
      </c>
      <c r="N3" s="17" t="str">
        <f>IF(O3=""," ",VLOOKUP(O3,'[8]2012 личен състав ОТД'!$A:$AO,2,FALSE))</f>
        <v>доц. д-р Красимира Кръстанова</v>
      </c>
      <c r="O3" s="81" t="str">
        <f>IF(A3=""," ",VLOOKUP(A3,'Български и испански език'!A:O,15,FALSE))</f>
        <v>кръстанова</v>
      </c>
      <c r="P3" s="17">
        <f>IF(O3=""," ",VLOOKUP(O3,'[8]2012 личен състав ОТД'!$A:$AO,13,FALSE))</f>
        <v>1958</v>
      </c>
      <c r="Q3" s="17" t="str">
        <f>IF(O3=""," ",VLOOKUP(O3,'[8]2012 личен състав ОТД'!$A:$AO,12,FALSE))</f>
        <v>ОТД</v>
      </c>
      <c r="R3" s="17" t="str">
        <f>IF(A3=""," ",VLOOKUP(A3,'Профилиращ лист'!A:B,2,FALSE))</f>
        <v>СПЕ</v>
      </c>
      <c r="T3" s="17">
        <f t="shared" ref="T3:T34" ca="1" si="0">Години-P3</f>
        <v>55</v>
      </c>
    </row>
    <row r="4" spans="1:31" ht="15" hidden="1" x14ac:dyDescent="0.2">
      <c r="A4" s="8" t="s">
        <v>13</v>
      </c>
      <c r="B4" s="8">
        <v>45</v>
      </c>
      <c r="C4" s="4">
        <v>45</v>
      </c>
      <c r="D4" s="4">
        <v>15</v>
      </c>
      <c r="E4" s="4">
        <v>30</v>
      </c>
      <c r="F4" s="4">
        <f t="shared" ref="F4:F10" si="1">C4-D4-E4</f>
        <v>0</v>
      </c>
      <c r="G4" s="4">
        <f t="shared" ref="G4:G10" si="2">H4-C4</f>
        <v>75</v>
      </c>
      <c r="H4" s="4">
        <f t="shared" ref="H4:H10" si="3">I4*30</f>
        <v>120</v>
      </c>
      <c r="I4" s="4">
        <v>4</v>
      </c>
      <c r="J4" s="4" t="s">
        <v>14</v>
      </c>
      <c r="K4" s="75">
        <f t="shared" ref="K4:K67" si="4">SUMIF(A:A,A4,C:C)</f>
        <v>90</v>
      </c>
      <c r="L4" s="75">
        <f t="shared" ref="L4:L67" si="5">SUMIF(A:A,A4,D:D)</f>
        <v>30</v>
      </c>
      <c r="M4" s="75">
        <f t="shared" ref="M4:M67" si="6">SUMIF(A:A,A4,E:E)+SUMIF(A:A,A4,F:F)</f>
        <v>60</v>
      </c>
      <c r="N4" s="17" t="str">
        <f>IF(O4=""," ",VLOOKUP(O4,'[8]2012 личен състав ОТД'!$A:$AO,2,FALSE))</f>
        <v xml:space="preserve">   </v>
      </c>
      <c r="O4" s="81">
        <f>IF(A4=""," ",VLOOKUP(A4,'Български и испански език'!A:O,15,FALSE))</f>
        <v>0</v>
      </c>
      <c r="P4" s="17">
        <f>IF(O4=""," ",VLOOKUP(O4,'[8]2012 личен състав ОТД'!$A:$AO,13,FALSE))</f>
        <v>0</v>
      </c>
      <c r="Q4" s="17">
        <f>IF(O4=""," ",VLOOKUP(O4,'[8]2012 личен състав ОТД'!$A:$AO,12,FALSE))</f>
        <v>0</v>
      </c>
      <c r="R4" s="17" t="str">
        <f>IF(A4=""," ",VLOOKUP(A4,'Профилиращ лист'!A:B,2,FALSE))</f>
        <v>ОФД</v>
      </c>
      <c r="T4" s="17">
        <f t="shared" ca="1" si="0"/>
        <v>2013</v>
      </c>
      <c r="V4" s="17">
        <f>COUNTIF(N:N,"проф.*")</f>
        <v>6</v>
      </c>
      <c r="W4" s="17">
        <f>COUNTIF(N:N,"доц.*")</f>
        <v>22</v>
      </c>
      <c r="X4" s="17">
        <f>COUNTIF(N:N,"*ас. д-р*")</f>
        <v>1</v>
      </c>
      <c r="Y4" s="17">
        <f>COUNTIF(N:N,"гл. ас.*")-X4</f>
        <v>1</v>
      </c>
      <c r="Z4" s="17">
        <f>COUNTIF(N:N,"ас.*")</f>
        <v>11</v>
      </c>
      <c r="AA4" s="17">
        <f>SUM(V4:Z4)</f>
        <v>41</v>
      </c>
    </row>
    <row r="5" spans="1:31" ht="15" hidden="1" x14ac:dyDescent="0.2">
      <c r="A5" s="8" t="s">
        <v>206</v>
      </c>
      <c r="B5" s="8">
        <v>90</v>
      </c>
      <c r="C5" s="4">
        <v>90</v>
      </c>
      <c r="D5" s="4">
        <v>0</v>
      </c>
      <c r="E5" s="4">
        <v>0</v>
      </c>
      <c r="F5" s="4">
        <f t="shared" si="1"/>
        <v>90</v>
      </c>
      <c r="G5" s="4">
        <f t="shared" si="2"/>
        <v>120</v>
      </c>
      <c r="H5" s="4">
        <f t="shared" si="3"/>
        <v>210</v>
      </c>
      <c r="I5" s="4">
        <v>7</v>
      </c>
      <c r="J5" s="4" t="s">
        <v>14</v>
      </c>
      <c r="K5" s="75">
        <f t="shared" si="4"/>
        <v>630</v>
      </c>
      <c r="L5" s="75">
        <f t="shared" si="5"/>
        <v>0</v>
      </c>
      <c r="M5" s="75">
        <f t="shared" si="6"/>
        <v>630</v>
      </c>
      <c r="N5" s="17" t="e">
        <f>IF(O5=""," ",VLOOKUP(O5,'[8]2012 личен състав ОТД'!$A:$AO,2,FALSE))</f>
        <v>#N/A</v>
      </c>
      <c r="O5" s="81" t="e">
        <f>IF(A5=""," ",VLOOKUP(A5,'Български и испански език'!A:O,15,FALSE))</f>
        <v>#N/A</v>
      </c>
      <c r="P5" s="17" t="e">
        <f>IF(O5=""," ",VLOOKUP(O5,'[8]2012 личен състав ОТД'!$A:$AO,13,FALSE))</f>
        <v>#N/A</v>
      </c>
      <c r="Q5" s="17" t="e">
        <f>IF(O5=""," ",VLOOKUP(O5,'[8]2012 личен състав ОТД'!$A:$AO,12,FALSE))</f>
        <v>#N/A</v>
      </c>
      <c r="R5" s="17" t="e">
        <f>IF(A5=""," ",VLOOKUP(A5,'Профилиращ лист'!A:B,2,FALSE))</f>
        <v>#N/A</v>
      </c>
      <c r="T5" s="17" t="e">
        <f t="shared" ca="1" si="0"/>
        <v>#N/A</v>
      </c>
    </row>
    <row r="6" spans="1:31" ht="15" x14ac:dyDescent="0.2">
      <c r="A6" s="8" t="s">
        <v>207</v>
      </c>
      <c r="B6" s="8">
        <v>30</v>
      </c>
      <c r="C6" s="4">
        <v>30</v>
      </c>
      <c r="D6" s="4">
        <v>15</v>
      </c>
      <c r="E6" s="4">
        <v>15</v>
      </c>
      <c r="F6" s="4">
        <f t="shared" si="1"/>
        <v>0</v>
      </c>
      <c r="G6" s="4">
        <f t="shared" si="2"/>
        <v>60</v>
      </c>
      <c r="H6" s="4">
        <f t="shared" si="3"/>
        <v>90</v>
      </c>
      <c r="I6" s="4">
        <v>3</v>
      </c>
      <c r="J6" s="6" t="s">
        <v>12</v>
      </c>
      <c r="K6" s="75">
        <f t="shared" si="4"/>
        <v>30</v>
      </c>
      <c r="L6" s="75">
        <f t="shared" si="5"/>
        <v>15</v>
      </c>
      <c r="M6" s="75">
        <f t="shared" si="6"/>
        <v>15</v>
      </c>
      <c r="N6" s="17" t="str">
        <f>IF(O6=""," ",VLOOKUP(O6,'[8]2012 личен състав ОТД'!$A:$AO,2,FALSE))</f>
        <v>ас.  Стефан  Иванчев</v>
      </c>
      <c r="O6" s="81" t="s">
        <v>521</v>
      </c>
      <c r="P6" s="17">
        <f>IF(O6=""," ",VLOOKUP(O6,'[8]2012 личен състав ОТД'!$A:$AO,13,FALSE))</f>
        <v>0</v>
      </c>
      <c r="Q6" s="17" t="str">
        <f>IF(O6=""," ",VLOOKUP(O6,'[8]2012 личен състав ОТД'!$A:$AO,12,FALSE))</f>
        <v>ХОН</v>
      </c>
      <c r="R6" s="81" t="s">
        <v>255</v>
      </c>
      <c r="S6" s="81"/>
      <c r="T6" s="81">
        <f t="shared" ca="1" si="0"/>
        <v>2013</v>
      </c>
      <c r="U6" s="81"/>
    </row>
    <row r="7" spans="1:31" ht="15" hidden="1" x14ac:dyDescent="0.2">
      <c r="A7" s="8" t="s">
        <v>17</v>
      </c>
      <c r="B7" s="8">
        <v>15</v>
      </c>
      <c r="C7" s="4">
        <v>30</v>
      </c>
      <c r="D7" s="4">
        <v>0</v>
      </c>
      <c r="E7" s="4">
        <v>30</v>
      </c>
      <c r="F7" s="4">
        <v>0</v>
      </c>
      <c r="G7" s="4">
        <f t="shared" si="2"/>
        <v>60</v>
      </c>
      <c r="H7" s="4">
        <f t="shared" si="3"/>
        <v>90</v>
      </c>
      <c r="I7" s="4">
        <v>3</v>
      </c>
      <c r="J7" s="6" t="s">
        <v>18</v>
      </c>
      <c r="K7" s="75">
        <f t="shared" si="4"/>
        <v>30</v>
      </c>
      <c r="L7" s="75">
        <f t="shared" si="5"/>
        <v>0</v>
      </c>
      <c r="M7" s="75">
        <f t="shared" si="6"/>
        <v>30</v>
      </c>
      <c r="N7" s="17" t="e">
        <f>IF(O7=""," ",VLOOKUP(O7,'[8]2012 личен състав ОТД'!$A:$AO,2,FALSE))</f>
        <v>#N/A</v>
      </c>
      <c r="O7" s="81" t="e">
        <f>IF(A7=""," ",VLOOKUP(A7,'Български и испански език'!A:O,15,FALSE))</f>
        <v>#N/A</v>
      </c>
      <c r="P7" s="17" t="e">
        <f>IF(O7=""," ",VLOOKUP(O7,'[8]2012 личен състав ОТД'!$A:$AO,13,FALSE))</f>
        <v>#N/A</v>
      </c>
      <c r="Q7" s="17" t="e">
        <f>IF(O7=""," ",VLOOKUP(O7,'[8]2012 личен състав ОТД'!$A:$AO,12,FALSE))</f>
        <v>#N/A</v>
      </c>
      <c r="R7" s="17" t="str">
        <f>IF(A7=""," ",VLOOKUP(A7,'Профилиращ лист'!A:B,2,FALSE))</f>
        <v>ИЗБ</v>
      </c>
      <c r="T7" s="17" t="e">
        <f t="shared" ca="1" si="0"/>
        <v>#N/A</v>
      </c>
    </row>
    <row r="8" spans="1:31" ht="15" x14ac:dyDescent="0.2">
      <c r="A8" s="8" t="s">
        <v>19</v>
      </c>
      <c r="B8" s="8">
        <v>45</v>
      </c>
      <c r="C8" s="4">
        <v>60</v>
      </c>
      <c r="D8" s="4">
        <v>45</v>
      </c>
      <c r="E8" s="4">
        <v>15</v>
      </c>
      <c r="F8" s="4">
        <f t="shared" si="1"/>
        <v>0</v>
      </c>
      <c r="G8" s="4">
        <f t="shared" si="2"/>
        <v>60</v>
      </c>
      <c r="H8" s="4">
        <f t="shared" si="3"/>
        <v>120</v>
      </c>
      <c r="I8" s="4">
        <v>4</v>
      </c>
      <c r="J8" s="6" t="s">
        <v>12</v>
      </c>
      <c r="K8" s="75">
        <f t="shared" si="4"/>
        <v>60</v>
      </c>
      <c r="L8" s="75">
        <f t="shared" si="5"/>
        <v>45</v>
      </c>
      <c r="M8" s="75">
        <f t="shared" si="6"/>
        <v>15</v>
      </c>
      <c r="N8" s="17" t="str">
        <f>IF(O8=""," ",VLOOKUP(O8,'[8]2012 личен състав ОТД'!$A:$AO,2,FALSE))</f>
        <v>доц. д-р Атанас Бучков</v>
      </c>
      <c r="O8" s="81" t="str">
        <f>IF(A8=""," ",VLOOKUP(A8,'Български и испански език'!A:O,15,FALSE))</f>
        <v>бучков</v>
      </c>
      <c r="P8" s="17">
        <f>IF(O8=""," ",VLOOKUP(O8,'[8]2012 личен състав ОТД'!$A:$AO,13,FALSE))</f>
        <v>1949</v>
      </c>
      <c r="Q8" s="17" t="str">
        <f>IF(O8=""," ",VLOOKUP(O8,'[8]2012 личен състав ОТД'!$A:$AO,12,FALSE))</f>
        <v>ОТД</v>
      </c>
      <c r="R8" s="17" t="str">
        <f>IF(A8=""," ",VLOOKUP(A8,'Профилиращ лист'!A:B,2,FALSE))</f>
        <v>ОФД</v>
      </c>
      <c r="T8" s="17">
        <f t="shared" ca="1" si="0"/>
        <v>64</v>
      </c>
    </row>
    <row r="9" spans="1:31" ht="15" x14ac:dyDescent="0.2">
      <c r="A9" s="8" t="s">
        <v>20</v>
      </c>
      <c r="B9" s="8">
        <v>45</v>
      </c>
      <c r="C9" s="4">
        <v>60</v>
      </c>
      <c r="D9" s="4">
        <v>45</v>
      </c>
      <c r="E9" s="4">
        <v>15</v>
      </c>
      <c r="F9" s="4">
        <f t="shared" si="1"/>
        <v>0</v>
      </c>
      <c r="G9" s="4">
        <f t="shared" si="2"/>
        <v>60</v>
      </c>
      <c r="H9" s="4">
        <f t="shared" si="3"/>
        <v>120</v>
      </c>
      <c r="I9" s="4">
        <v>4</v>
      </c>
      <c r="J9" s="6" t="s">
        <v>12</v>
      </c>
      <c r="K9" s="75">
        <f t="shared" si="4"/>
        <v>60</v>
      </c>
      <c r="L9" s="75">
        <f t="shared" si="5"/>
        <v>45</v>
      </c>
      <c r="M9" s="75">
        <f t="shared" si="6"/>
        <v>15</v>
      </c>
      <c r="N9" s="17" t="str">
        <f>IF(O9=""," ",VLOOKUP(O9,'[8]2012 личен състав ОТД'!$A:$AO,2,FALSE))</f>
        <v>доц. д-р Иван Чобанов</v>
      </c>
      <c r="O9" s="81" t="str">
        <f>IF(A9=""," ",VLOOKUP(A9,'Български и испански език'!A:O,15,FALSE))</f>
        <v>чобанов</v>
      </c>
      <c r="P9" s="17">
        <f>IF(O9=""," ",VLOOKUP(O9,'[8]2012 личен състав ОТД'!$A:$AO,13,FALSE))</f>
        <v>1949</v>
      </c>
      <c r="Q9" s="17" t="str">
        <f>IF(O9=""," ",VLOOKUP(O9,'[8]2012 личен състав ОТД'!$A:$AO,12,FALSE))</f>
        <v>ОТД</v>
      </c>
      <c r="R9" s="17" t="str">
        <f>IF(A9=""," ",VLOOKUP(A9,'Профилиращ лист'!A:B,2,FALSE))</f>
        <v>ОФД</v>
      </c>
      <c r="T9" s="17">
        <f t="shared" ca="1" si="0"/>
        <v>64</v>
      </c>
    </row>
    <row r="10" spans="1:31" ht="15" hidden="1" x14ac:dyDescent="0.2">
      <c r="A10" s="8" t="s">
        <v>21</v>
      </c>
      <c r="B10" s="8">
        <v>15</v>
      </c>
      <c r="C10" s="4">
        <v>30</v>
      </c>
      <c r="D10" s="4">
        <v>0</v>
      </c>
      <c r="E10" s="4">
        <v>0</v>
      </c>
      <c r="F10" s="4">
        <f t="shared" si="1"/>
        <v>30</v>
      </c>
      <c r="G10" s="4">
        <f t="shared" si="2"/>
        <v>30</v>
      </c>
      <c r="H10" s="4">
        <f t="shared" si="3"/>
        <v>60</v>
      </c>
      <c r="I10" s="4">
        <v>2</v>
      </c>
      <c r="J10" s="6" t="s">
        <v>18</v>
      </c>
      <c r="K10" s="75">
        <f t="shared" si="4"/>
        <v>30</v>
      </c>
      <c r="L10" s="75">
        <f t="shared" si="5"/>
        <v>0</v>
      </c>
      <c r="M10" s="75">
        <f t="shared" si="6"/>
        <v>30</v>
      </c>
      <c r="N10" s="17" t="str">
        <f>IF(O10=""," ",VLOOKUP(O10,'[8]2012 личен състав ОТД'!$A:$AO,2,FALSE))</f>
        <v xml:space="preserve">   </v>
      </c>
      <c r="O10" s="81">
        <f>IF(A10=""," ",VLOOKUP(A10,'Български и испански език'!A:O,15,FALSE))</f>
        <v>0</v>
      </c>
      <c r="P10" s="17">
        <f>IF(O10=""," ",VLOOKUP(O10,'[8]2012 личен състав ОТД'!$A:$AO,13,FALSE))</f>
        <v>0</v>
      </c>
      <c r="Q10" s="17">
        <f>IF(O10=""," ",VLOOKUP(O10,'[8]2012 личен състав ОТД'!$A:$AO,12,FALSE))</f>
        <v>0</v>
      </c>
      <c r="R10" s="17" t="str">
        <f>IF(A10=""," ",VLOOKUP(A10,'Профилиращ лист'!A:B,2,FALSE))</f>
        <v>ФД</v>
      </c>
      <c r="T10" s="17">
        <f t="shared" ca="1" si="0"/>
        <v>2013</v>
      </c>
    </row>
    <row r="11" spans="1:31" ht="15" hidden="1" x14ac:dyDescent="0.2">
      <c r="A11" s="8"/>
      <c r="B11" s="18">
        <f t="shared" ref="B11:I11" si="7">SUM(B3:B10)</f>
        <v>315</v>
      </c>
      <c r="C11" s="18">
        <f t="shared" si="7"/>
        <v>375</v>
      </c>
      <c r="D11" s="18">
        <f t="shared" si="7"/>
        <v>150</v>
      </c>
      <c r="E11" s="18">
        <f t="shared" si="7"/>
        <v>105</v>
      </c>
      <c r="F11" s="18">
        <f t="shared" si="7"/>
        <v>120</v>
      </c>
      <c r="G11" s="18">
        <f t="shared" si="7"/>
        <v>525</v>
      </c>
      <c r="H11" s="18">
        <f t="shared" si="7"/>
        <v>900</v>
      </c>
      <c r="I11" s="18">
        <f t="shared" si="7"/>
        <v>30</v>
      </c>
      <c r="J11" s="6"/>
      <c r="K11" s="75">
        <f t="shared" si="4"/>
        <v>0</v>
      </c>
      <c r="L11" s="75">
        <f t="shared" si="5"/>
        <v>0</v>
      </c>
      <c r="M11" s="75">
        <f t="shared" si="6"/>
        <v>0</v>
      </c>
      <c r="N11" s="17" t="e">
        <f>IF(O11=""," ",VLOOKUP(O11,'[8]2012 личен състав ОТД'!$A:$AO,2,FALSE))</f>
        <v>#N/A</v>
      </c>
      <c r="O11" s="81" t="str">
        <f>IF(A11=""," ",VLOOKUP(A11,'Български и испански език'!A:O,15,FALSE))</f>
        <v xml:space="preserve"> </v>
      </c>
      <c r="P11" s="17" t="e">
        <f>IF(O11=""," ",VLOOKUP(O11,'[8]2012 личен състав ОТД'!$A:$AO,13,FALSE))</f>
        <v>#N/A</v>
      </c>
      <c r="Q11" s="17" t="e">
        <f>IF(O11=""," ",VLOOKUP(O11,'[8]2012 личен състав ОТД'!$A:$AO,12,FALSE))</f>
        <v>#N/A</v>
      </c>
      <c r="R11" s="17" t="str">
        <f>IF(A11=""," ",VLOOKUP(A11,'Профилиращ лист'!A:B,2,FALSE))</f>
        <v xml:space="preserve"> </v>
      </c>
      <c r="T11" s="17" t="e">
        <f t="shared" ca="1" si="0"/>
        <v>#N/A</v>
      </c>
    </row>
    <row r="12" spans="1:31" ht="15" hidden="1" x14ac:dyDescent="0.2">
      <c r="A12" s="1" t="s">
        <v>22</v>
      </c>
      <c r="B12" s="1"/>
      <c r="C12" s="4"/>
      <c r="D12" s="4"/>
      <c r="E12" s="4"/>
      <c r="F12" s="4"/>
      <c r="G12" s="4"/>
      <c r="H12" s="4"/>
      <c r="I12" s="5"/>
      <c r="J12" s="6"/>
      <c r="K12" s="75">
        <f t="shared" si="4"/>
        <v>0</v>
      </c>
      <c r="L12" s="75">
        <f t="shared" si="5"/>
        <v>0</v>
      </c>
      <c r="M12" s="75">
        <f t="shared" si="6"/>
        <v>0</v>
      </c>
      <c r="N12" s="17" t="str">
        <f>IF(O12=""," ",VLOOKUP(O12,'[8]2012 личен състав ОТД'!$A:$AO,2,FALSE))</f>
        <v xml:space="preserve">   </v>
      </c>
      <c r="O12" s="81">
        <f>IF(A12=""," ",VLOOKUP(A12,'Български и испански език'!A:O,15,FALSE))</f>
        <v>0</v>
      </c>
      <c r="P12" s="17">
        <f>IF(O12=""," ",VLOOKUP(O12,'[8]2012 личен състав ОТД'!$A:$AO,13,FALSE))</f>
        <v>0</v>
      </c>
      <c r="Q12" s="17">
        <f>IF(O12=""," ",VLOOKUP(O12,'[8]2012 личен състав ОТД'!$A:$AO,12,FALSE))</f>
        <v>0</v>
      </c>
      <c r="R12" s="17" t="e">
        <f>IF(A12=""," ",VLOOKUP(A12,'Профилиращ лист'!A:B,2,FALSE))</f>
        <v>#N/A</v>
      </c>
      <c r="T12" s="17">
        <f t="shared" ca="1" si="0"/>
        <v>2013</v>
      </c>
    </row>
    <row r="13" spans="1:31" ht="15" x14ac:dyDescent="0.2">
      <c r="A13" s="8" t="s">
        <v>23</v>
      </c>
      <c r="B13" s="8">
        <v>45</v>
      </c>
      <c r="C13" s="4">
        <v>60</v>
      </c>
      <c r="D13" s="4">
        <v>45</v>
      </c>
      <c r="E13" s="4">
        <v>15</v>
      </c>
      <c r="F13" s="4">
        <f>C13-D13-E13</f>
        <v>0</v>
      </c>
      <c r="G13" s="4">
        <f>H13-C13</f>
        <v>90</v>
      </c>
      <c r="H13" s="4">
        <f t="shared" ref="H13:H22" si="8">I13*30</f>
        <v>150</v>
      </c>
      <c r="I13" s="4">
        <v>5</v>
      </c>
      <c r="J13" s="6" t="s">
        <v>12</v>
      </c>
      <c r="K13" s="75">
        <f t="shared" si="4"/>
        <v>60</v>
      </c>
      <c r="L13" s="75">
        <f t="shared" si="5"/>
        <v>45</v>
      </c>
      <c r="M13" s="75">
        <f t="shared" si="6"/>
        <v>15</v>
      </c>
      <c r="N13" s="17" t="str">
        <f>IF(O13=""," ",VLOOKUP(O13,'[8]2012 личен състав ОТД'!$A:$AO,2,FALSE))</f>
        <v>доц. д-р Мария Йовчева</v>
      </c>
      <c r="O13" s="81" t="str">
        <f>IF(A13=""," ",VLOOKUP(A13,'Български и испански език'!A:O,15,FALSE))</f>
        <v>йовчева</v>
      </c>
      <c r="P13" s="17">
        <f>IF(O13=""," ",VLOOKUP(O13,'[8]2012 личен състав ОТД'!$A:$AO,13,FALSE))</f>
        <v>1959</v>
      </c>
      <c r="Q13" s="17" t="str">
        <f>IF(O13=""," ",VLOOKUP(O13,'[8]2012 личен състав ОТД'!$A:$AO,12,FALSE))</f>
        <v>ОТД</v>
      </c>
      <c r="R13" s="17" t="str">
        <f>IF(A13=""," ",VLOOKUP(A13,'Профилиращ лист'!A:B,2,FALSE))</f>
        <v>СПЕ</v>
      </c>
      <c r="T13" s="17">
        <f t="shared" ca="1" si="0"/>
        <v>54</v>
      </c>
    </row>
    <row r="14" spans="1:31" ht="15" x14ac:dyDescent="0.2">
      <c r="A14" s="8" t="s">
        <v>13</v>
      </c>
      <c r="B14" s="8">
        <v>30</v>
      </c>
      <c r="C14" s="4">
        <v>45</v>
      </c>
      <c r="D14" s="4">
        <v>15</v>
      </c>
      <c r="E14" s="4">
        <v>30</v>
      </c>
      <c r="F14" s="4">
        <f t="shared" ref="F14:F22" si="9">C14-D14-E14</f>
        <v>0</v>
      </c>
      <c r="G14" s="4">
        <f t="shared" ref="G14:G21" si="10">H14-C14</f>
        <v>75</v>
      </c>
      <c r="H14" s="4">
        <f t="shared" si="8"/>
        <v>120</v>
      </c>
      <c r="I14" s="4">
        <v>4</v>
      </c>
      <c r="J14" s="6" t="s">
        <v>12</v>
      </c>
      <c r="K14" s="75">
        <f t="shared" si="4"/>
        <v>90</v>
      </c>
      <c r="L14" s="75">
        <f t="shared" si="5"/>
        <v>30</v>
      </c>
      <c r="M14" s="75">
        <f t="shared" si="6"/>
        <v>60</v>
      </c>
      <c r="N14" s="17" t="str">
        <f>IF(O14=""," ",VLOOKUP(O14,'[8]2012 личен състав ОТД'!$A:$AO,2,FALSE))</f>
        <v>доц. д-р Христина Тончева</v>
      </c>
      <c r="O14" s="81" t="s">
        <v>461</v>
      </c>
      <c r="P14" s="17">
        <f>IF(O14=""," ",VLOOKUP(O14,'[8]2012 личен състав ОТД'!$A:$AO,13,FALSE))</f>
        <v>1968</v>
      </c>
      <c r="Q14" s="17" t="str">
        <f>IF(O14=""," ",VLOOKUP(O14,'[8]2012 личен състав ОТД'!$A:$AO,12,FALSE))</f>
        <v>ОТД</v>
      </c>
      <c r="R14" s="17" t="str">
        <f>IF(A14=""," ",VLOOKUP(A14,'Профилиращ лист'!A:B,2,FALSE))</f>
        <v>ОФД</v>
      </c>
      <c r="T14" s="17">
        <f t="shared" ca="1" si="0"/>
        <v>45</v>
      </c>
    </row>
    <row r="15" spans="1:31" ht="15" x14ac:dyDescent="0.2">
      <c r="A15" s="8" t="s">
        <v>24</v>
      </c>
      <c r="B15" s="8">
        <v>30</v>
      </c>
      <c r="C15" s="4">
        <v>30</v>
      </c>
      <c r="D15" s="4">
        <v>30</v>
      </c>
      <c r="E15" s="4">
        <v>0</v>
      </c>
      <c r="F15" s="4">
        <f t="shared" si="9"/>
        <v>0</v>
      </c>
      <c r="G15" s="4">
        <f t="shared" si="10"/>
        <v>60</v>
      </c>
      <c r="H15" s="4">
        <f t="shared" si="8"/>
        <v>90</v>
      </c>
      <c r="I15" s="4">
        <v>3</v>
      </c>
      <c r="J15" s="4" t="s">
        <v>12</v>
      </c>
      <c r="K15" s="75">
        <f t="shared" si="4"/>
        <v>30</v>
      </c>
      <c r="L15" s="75">
        <f t="shared" si="5"/>
        <v>30</v>
      </c>
      <c r="M15" s="75">
        <f t="shared" si="6"/>
        <v>0</v>
      </c>
      <c r="N15" s="17" t="str">
        <f>IF(O15=""," ",VLOOKUP(O15,'[8]2012 личен състав ОТД'!$A:$AO,2,FALSE))</f>
        <v>доц. д-р Станка Козарова</v>
      </c>
      <c r="O15" s="81" t="str">
        <f>IF(A15=""," ",VLOOKUP(A15,'Български и испански език'!A:O,15,FALSE))</f>
        <v>козарова</v>
      </c>
      <c r="P15" s="17">
        <f>IF(O15=""," ",VLOOKUP(O15,'[8]2012 личен състав ОТД'!$A:$AO,13,FALSE))</f>
        <v>1959</v>
      </c>
      <c r="Q15" s="17" t="str">
        <f>IF(O15=""," ",VLOOKUP(O15,'[8]2012 личен състав ОТД'!$A:$AO,12,FALSE))</f>
        <v>ОТД</v>
      </c>
      <c r="R15" s="17" t="str">
        <f>IF(A15=""," ",VLOOKUP(A15,'Профилиращ лист'!A:B,2,FALSE))</f>
        <v>ОФД</v>
      </c>
      <c r="T15" s="17">
        <f t="shared" ca="1" si="0"/>
        <v>54</v>
      </c>
    </row>
    <row r="16" spans="1:31" ht="15" hidden="1" x14ac:dyDescent="0.2">
      <c r="A16" s="8" t="s">
        <v>206</v>
      </c>
      <c r="B16" s="8">
        <v>90</v>
      </c>
      <c r="C16" s="4">
        <v>105</v>
      </c>
      <c r="D16" s="4">
        <v>0</v>
      </c>
      <c r="E16" s="4">
        <v>0</v>
      </c>
      <c r="F16" s="4">
        <f t="shared" si="9"/>
        <v>105</v>
      </c>
      <c r="G16" s="4">
        <f t="shared" si="10"/>
        <v>105</v>
      </c>
      <c r="H16" s="4">
        <f t="shared" si="8"/>
        <v>210</v>
      </c>
      <c r="I16" s="4">
        <v>7</v>
      </c>
      <c r="J16" s="6" t="s">
        <v>12</v>
      </c>
      <c r="K16" s="75">
        <f t="shared" si="4"/>
        <v>630</v>
      </c>
      <c r="L16" s="75">
        <f t="shared" si="5"/>
        <v>0</v>
      </c>
      <c r="M16" s="75">
        <f t="shared" si="6"/>
        <v>630</v>
      </c>
      <c r="N16" s="17" t="e">
        <f>IF(O16=""," ",VLOOKUP(O16,'[8]2012 личен състав ОТД'!$A:$AO,2,FALSE))</f>
        <v>#N/A</v>
      </c>
      <c r="O16" s="81" t="e">
        <f>IF(A16=""," ",VLOOKUP(A16,'Български и испански език'!A:O,15,FALSE))</f>
        <v>#N/A</v>
      </c>
      <c r="P16" s="17" t="e">
        <f>IF(O16=""," ",VLOOKUP(O16,'[8]2012 личен състав ОТД'!$A:$AO,13,FALSE))</f>
        <v>#N/A</v>
      </c>
      <c r="Q16" s="17" t="e">
        <f>IF(O16=""," ",VLOOKUP(O16,'[8]2012 личен състав ОТД'!$A:$AO,12,FALSE))</f>
        <v>#N/A</v>
      </c>
      <c r="R16" s="17" t="e">
        <f>IF(A16=""," ",VLOOKUP(A16,'Профилиращ лист'!A:B,2,FALSE))</f>
        <v>#N/A</v>
      </c>
      <c r="T16" s="17" t="e">
        <f t="shared" ca="1" si="0"/>
        <v>#N/A</v>
      </c>
    </row>
    <row r="17" spans="1:21" ht="15" x14ac:dyDescent="0.2">
      <c r="A17" s="8" t="s">
        <v>208</v>
      </c>
      <c r="B17" s="8">
        <v>30</v>
      </c>
      <c r="C17" s="4">
        <v>45</v>
      </c>
      <c r="D17" s="4">
        <v>30</v>
      </c>
      <c r="E17" s="4">
        <v>15</v>
      </c>
      <c r="F17" s="4">
        <f t="shared" si="9"/>
        <v>0</v>
      </c>
      <c r="G17" s="4">
        <f t="shared" si="10"/>
        <v>75</v>
      </c>
      <c r="H17" s="4">
        <f t="shared" si="8"/>
        <v>120</v>
      </c>
      <c r="I17" s="4">
        <v>4</v>
      </c>
      <c r="J17" s="6" t="s">
        <v>12</v>
      </c>
      <c r="K17" s="75">
        <f t="shared" si="4"/>
        <v>45</v>
      </c>
      <c r="L17" s="75">
        <f t="shared" si="5"/>
        <v>30</v>
      </c>
      <c r="M17" s="75">
        <f t="shared" si="6"/>
        <v>15</v>
      </c>
      <c r="N17" s="17" t="str">
        <f>IF(O17=""," ",VLOOKUP(O17,'[8]2012 личен състав ОТД'!$A:$AO,2,FALSE))</f>
        <v>доц. д-р Хун Сунджонг</v>
      </c>
      <c r="O17" s="81" t="s">
        <v>520</v>
      </c>
      <c r="P17" s="17">
        <f>IF(O17=""," ",VLOOKUP(O17,'[8]2012 личен състав ОТД'!$A:$AO,13,FALSE))</f>
        <v>1968</v>
      </c>
      <c r="Q17" s="17" t="str">
        <f>IF(O17=""," ",VLOOKUP(O17,'[8]2012 личен състав ОТД'!$A:$AO,12,FALSE))</f>
        <v>ОТД</v>
      </c>
      <c r="R17" s="81" t="s">
        <v>255</v>
      </c>
      <c r="S17" s="81"/>
      <c r="T17" s="81">
        <f t="shared" ca="1" si="0"/>
        <v>45</v>
      </c>
      <c r="U17" s="81"/>
    </row>
    <row r="18" spans="1:21" ht="15" hidden="1" x14ac:dyDescent="0.2">
      <c r="A18" s="8" t="s">
        <v>209</v>
      </c>
      <c r="B18" s="8"/>
      <c r="C18" s="4">
        <v>30</v>
      </c>
      <c r="D18" s="4">
        <v>0</v>
      </c>
      <c r="E18" s="4">
        <v>0</v>
      </c>
      <c r="F18" s="4">
        <v>30</v>
      </c>
      <c r="G18" s="4">
        <f t="shared" si="10"/>
        <v>30</v>
      </c>
      <c r="H18" s="4">
        <f t="shared" si="8"/>
        <v>60</v>
      </c>
      <c r="I18" s="4">
        <v>2</v>
      </c>
      <c r="J18" s="6" t="s">
        <v>12</v>
      </c>
      <c r="K18" s="75">
        <f t="shared" si="4"/>
        <v>30</v>
      </c>
      <c r="L18" s="75">
        <f t="shared" si="5"/>
        <v>0</v>
      </c>
      <c r="M18" s="75">
        <f t="shared" si="6"/>
        <v>30</v>
      </c>
      <c r="N18" s="17" t="e">
        <f>IF(O18=""," ",VLOOKUP(O18,'[8]2012 личен състав ОТД'!$A:$AO,2,FALSE))</f>
        <v>#N/A</v>
      </c>
      <c r="O18" s="81" t="e">
        <f>IF(A18=""," ",VLOOKUP(A18,'Български и испански език'!A:O,15,FALSE))</f>
        <v>#N/A</v>
      </c>
      <c r="P18" s="17" t="e">
        <f>IF(O18=""," ",VLOOKUP(O18,'[8]2012 личен състав ОТД'!$A:$AO,13,FALSE))</f>
        <v>#N/A</v>
      </c>
      <c r="Q18" s="17" t="e">
        <f>IF(O18=""," ",VLOOKUP(O18,'[8]2012 личен състав ОТД'!$A:$AO,12,FALSE))</f>
        <v>#N/A</v>
      </c>
      <c r="R18" s="17" t="e">
        <f>IF(A18=""," ",VLOOKUP(A18,'Профилиращ лист'!A:B,2,FALSE))</f>
        <v>#N/A</v>
      </c>
      <c r="T18" s="17" t="e">
        <f t="shared" ca="1" si="0"/>
        <v>#N/A</v>
      </c>
    </row>
    <row r="19" spans="1:21" ht="15" x14ac:dyDescent="0.2">
      <c r="A19" s="8" t="s">
        <v>26</v>
      </c>
      <c r="B19" s="8">
        <v>30</v>
      </c>
      <c r="C19" s="4">
        <v>45</v>
      </c>
      <c r="D19" s="4">
        <v>30</v>
      </c>
      <c r="E19" s="4">
        <v>15</v>
      </c>
      <c r="F19" s="4">
        <f t="shared" si="9"/>
        <v>0</v>
      </c>
      <c r="G19" s="4">
        <f t="shared" si="10"/>
        <v>45</v>
      </c>
      <c r="H19" s="4">
        <f t="shared" si="8"/>
        <v>90</v>
      </c>
      <c r="I19" s="4">
        <v>3</v>
      </c>
      <c r="J19" s="6" t="s">
        <v>12</v>
      </c>
      <c r="K19" s="75">
        <f t="shared" si="4"/>
        <v>45</v>
      </c>
      <c r="L19" s="75">
        <f t="shared" si="5"/>
        <v>30</v>
      </c>
      <c r="M19" s="75">
        <f t="shared" si="6"/>
        <v>15</v>
      </c>
      <c r="N19" s="17" t="str">
        <f>IF(O19=""," ",VLOOKUP(O19,'[8]2012 личен състав ОТД'!$A:$AO,2,FALSE))</f>
        <v>доц. д-р Ваня Зидарова</v>
      </c>
      <c r="O19" s="81" t="str">
        <f>IF(A19=""," ",VLOOKUP(A19,'Български и испански език'!A:O,15,FALSE))</f>
        <v>зидарова</v>
      </c>
      <c r="P19" s="17">
        <f>IF(O19=""," ",VLOOKUP(O19,'[8]2012 личен състав ОТД'!$A:$AO,13,FALSE))</f>
        <v>1959</v>
      </c>
      <c r="Q19" s="17" t="str">
        <f>IF(O19=""," ",VLOOKUP(O19,'[8]2012 личен състав ОТД'!$A:$AO,12,FALSE))</f>
        <v>ОТД</v>
      </c>
      <c r="R19" s="17" t="str">
        <f>IF(A19=""," ",VLOOKUP(A19,'Профилиращ лист'!A:B,2,FALSE))</f>
        <v>ОФД</v>
      </c>
      <c r="T19" s="17">
        <f t="shared" ca="1" si="0"/>
        <v>54</v>
      </c>
    </row>
    <row r="20" spans="1:21" ht="15" hidden="1" x14ac:dyDescent="0.2">
      <c r="A20" s="8" t="s">
        <v>27</v>
      </c>
      <c r="B20" s="8">
        <v>15</v>
      </c>
      <c r="C20" s="4">
        <v>30</v>
      </c>
      <c r="D20" s="4">
        <v>0</v>
      </c>
      <c r="E20" s="4">
        <v>0</v>
      </c>
      <c r="F20" s="4">
        <f t="shared" si="9"/>
        <v>30</v>
      </c>
      <c r="G20" s="4">
        <f t="shared" si="10"/>
        <v>30</v>
      </c>
      <c r="H20" s="4">
        <f t="shared" si="8"/>
        <v>60</v>
      </c>
      <c r="I20" s="4">
        <v>2</v>
      </c>
      <c r="J20" s="6" t="s">
        <v>18</v>
      </c>
      <c r="K20" s="75">
        <f t="shared" si="4"/>
        <v>30</v>
      </c>
      <c r="L20" s="75">
        <f t="shared" si="5"/>
        <v>0</v>
      </c>
      <c r="M20" s="75">
        <f t="shared" si="6"/>
        <v>30</v>
      </c>
      <c r="N20" s="17" t="str">
        <f>IF(O20=""," ",VLOOKUP(O20,'[8]2012 личен състав ОТД'!$A:$AO,2,FALSE))</f>
        <v xml:space="preserve">   </v>
      </c>
      <c r="O20" s="81">
        <f>IF(A20=""," ",VLOOKUP(A20,'Български и испански език'!A:O,15,FALSE))</f>
        <v>0</v>
      </c>
      <c r="P20" s="17">
        <f>IF(O20=""," ",VLOOKUP(O20,'[8]2012 личен състав ОТД'!$A:$AO,13,FALSE))</f>
        <v>0</v>
      </c>
      <c r="Q20" s="17">
        <f>IF(O20=""," ",VLOOKUP(O20,'[8]2012 личен състав ОТД'!$A:$AO,12,FALSE))</f>
        <v>0</v>
      </c>
      <c r="R20" s="17" t="str">
        <f>IF(A20=""," ",VLOOKUP(A20,'Профилиращ лист'!A:B,2,FALSE))</f>
        <v>ФД</v>
      </c>
      <c r="T20" s="17">
        <f t="shared" ca="1" si="0"/>
        <v>2013</v>
      </c>
    </row>
    <row r="21" spans="1:21" ht="15" hidden="1" x14ac:dyDescent="0.2">
      <c r="A21" s="8" t="s">
        <v>28</v>
      </c>
      <c r="B21" s="8">
        <v>15</v>
      </c>
      <c r="C21" s="4">
        <v>15</v>
      </c>
      <c r="D21" s="4">
        <v>0</v>
      </c>
      <c r="E21" s="4">
        <v>0</v>
      </c>
      <c r="F21" s="4">
        <f t="shared" si="9"/>
        <v>15</v>
      </c>
      <c r="G21" s="4">
        <f t="shared" si="10"/>
        <v>45</v>
      </c>
      <c r="H21" s="4">
        <f t="shared" si="8"/>
        <v>60</v>
      </c>
      <c r="I21" s="4">
        <v>2</v>
      </c>
      <c r="J21" s="6" t="s">
        <v>18</v>
      </c>
      <c r="K21" s="75">
        <f t="shared" si="4"/>
        <v>15</v>
      </c>
      <c r="L21" s="75">
        <f t="shared" si="5"/>
        <v>0</v>
      </c>
      <c r="M21" s="75">
        <f t="shared" si="6"/>
        <v>15</v>
      </c>
      <c r="N21" s="17" t="str">
        <f>IF(O21=""," ",VLOOKUP(O21,'[8]2012 личен състав ОТД'!$A:$AO,2,FALSE))</f>
        <v xml:space="preserve">   </v>
      </c>
      <c r="O21" s="81">
        <f>IF(A21=""," ",VLOOKUP(A21,'Български и испански език'!A:O,15,FALSE))</f>
        <v>0</v>
      </c>
      <c r="P21" s="17">
        <f>IF(O21=""," ",VLOOKUP(O21,'[8]2012 личен състав ОТД'!$A:$AO,13,FALSE))</f>
        <v>0</v>
      </c>
      <c r="Q21" s="17">
        <f>IF(O21=""," ",VLOOKUP(O21,'[8]2012 личен състав ОТД'!$A:$AO,12,FALSE))</f>
        <v>0</v>
      </c>
      <c r="R21" s="17" t="str">
        <f>IF(A21=""," ",VLOOKUP(A21,'Профилиращ лист'!A:B,2,FALSE))</f>
        <v>ПЕД</v>
      </c>
      <c r="T21" s="17">
        <f t="shared" ca="1" si="0"/>
        <v>2013</v>
      </c>
    </row>
    <row r="22" spans="1:21" ht="15" hidden="1" x14ac:dyDescent="0.2">
      <c r="A22" s="8" t="s">
        <v>29</v>
      </c>
      <c r="B22" s="8">
        <v>30</v>
      </c>
      <c r="C22" s="4">
        <v>30</v>
      </c>
      <c r="D22" s="4">
        <v>0</v>
      </c>
      <c r="E22" s="4">
        <v>0</v>
      </c>
      <c r="F22" s="4">
        <f t="shared" si="9"/>
        <v>30</v>
      </c>
      <c r="G22" s="4">
        <v>0</v>
      </c>
      <c r="H22" s="4">
        <f t="shared" si="8"/>
        <v>0</v>
      </c>
      <c r="I22" s="4">
        <v>0</v>
      </c>
      <c r="J22" s="4" t="s">
        <v>14</v>
      </c>
      <c r="K22" s="75">
        <f t="shared" si="4"/>
        <v>60</v>
      </c>
      <c r="L22" s="75">
        <f t="shared" si="5"/>
        <v>0</v>
      </c>
      <c r="M22" s="75">
        <f t="shared" si="6"/>
        <v>60</v>
      </c>
      <c r="N22" s="17" t="str">
        <f>IF(O22=""," ",VLOOKUP(O22,'[8]2012 личен състав ОТД'!$A:$AO,2,FALSE))</f>
        <v xml:space="preserve">   </v>
      </c>
      <c r="O22" s="81">
        <f>IF(A22=""," ",VLOOKUP(A22,'Български и испански език'!A:O,15,FALSE))</f>
        <v>0</v>
      </c>
      <c r="P22" s="17">
        <f>IF(O22=""," ",VLOOKUP(O22,'[8]2012 личен състав ОТД'!$A:$AO,13,FALSE))</f>
        <v>0</v>
      </c>
      <c r="Q22" s="17">
        <f>IF(O22=""," ",VLOOKUP(O22,'[8]2012 личен състав ОТД'!$A:$AO,12,FALSE))</f>
        <v>0</v>
      </c>
      <c r="R22" s="17" t="str">
        <f>IF(A22=""," ",VLOOKUP(A22,'Профилиращ лист'!A:B,2,FALSE))</f>
        <v>ПЕД</v>
      </c>
      <c r="T22" s="17">
        <f t="shared" ca="1" si="0"/>
        <v>2013</v>
      </c>
    </row>
    <row r="23" spans="1:21" ht="15" hidden="1" x14ac:dyDescent="0.2">
      <c r="A23" s="8"/>
      <c r="B23" s="18">
        <f t="shared" ref="B23:I23" si="11">SUM(B13:B21)</f>
        <v>285</v>
      </c>
      <c r="C23" s="18">
        <f t="shared" si="11"/>
        <v>405</v>
      </c>
      <c r="D23" s="18">
        <f t="shared" si="11"/>
        <v>150</v>
      </c>
      <c r="E23" s="18">
        <f t="shared" si="11"/>
        <v>75</v>
      </c>
      <c r="F23" s="18">
        <f t="shared" si="11"/>
        <v>180</v>
      </c>
      <c r="G23" s="18">
        <f t="shared" si="11"/>
        <v>555</v>
      </c>
      <c r="H23" s="18">
        <f t="shared" si="11"/>
        <v>960</v>
      </c>
      <c r="I23" s="18">
        <f t="shared" si="11"/>
        <v>32</v>
      </c>
      <c r="J23" s="6"/>
      <c r="K23" s="75">
        <f t="shared" si="4"/>
        <v>0</v>
      </c>
      <c r="L23" s="75">
        <f t="shared" si="5"/>
        <v>0</v>
      </c>
      <c r="M23" s="75">
        <f t="shared" si="6"/>
        <v>0</v>
      </c>
      <c r="N23" s="17" t="e">
        <f>IF(O23=""," ",VLOOKUP(O23,'[8]2012 личен състав ОТД'!$A:$AO,2,FALSE))</f>
        <v>#N/A</v>
      </c>
      <c r="O23" s="81" t="str">
        <f>IF(A23=""," ",VLOOKUP(A23,'Български и испански език'!A:O,15,FALSE))</f>
        <v xml:space="preserve"> </v>
      </c>
      <c r="P23" s="17" t="e">
        <f>IF(O23=""," ",VLOOKUP(O23,'[8]2012 личен състав ОТД'!$A:$AO,13,FALSE))</f>
        <v>#N/A</v>
      </c>
      <c r="Q23" s="17" t="e">
        <f>IF(O23=""," ",VLOOKUP(O23,'[8]2012 личен състав ОТД'!$A:$AO,12,FALSE))</f>
        <v>#N/A</v>
      </c>
      <c r="R23" s="17" t="str">
        <f>IF(A23=""," ",VLOOKUP(A23,'Профилиращ лист'!A:B,2,FALSE))</f>
        <v xml:space="preserve"> </v>
      </c>
      <c r="T23" s="17" t="e">
        <f t="shared" ca="1" si="0"/>
        <v>#N/A</v>
      </c>
    </row>
    <row r="24" spans="1:21" ht="15" hidden="1" x14ac:dyDescent="0.2">
      <c r="A24" s="1" t="s">
        <v>30</v>
      </c>
      <c r="B24" s="1"/>
      <c r="C24" s="4"/>
      <c r="D24" s="4"/>
      <c r="E24" s="4"/>
      <c r="F24" s="4"/>
      <c r="G24" s="4"/>
      <c r="H24" s="4"/>
      <c r="I24" s="5"/>
      <c r="J24" s="6"/>
      <c r="K24" s="75">
        <f t="shared" si="4"/>
        <v>0</v>
      </c>
      <c r="L24" s="75">
        <f t="shared" si="5"/>
        <v>0</v>
      </c>
      <c r="M24" s="75">
        <f t="shared" si="6"/>
        <v>0</v>
      </c>
      <c r="N24" s="17" t="str">
        <f>IF(O24=""," ",VLOOKUP(O24,'[8]2012 личен състав ОТД'!$A:$AO,2,FALSE))</f>
        <v xml:space="preserve">   </v>
      </c>
      <c r="O24" s="81">
        <f>IF(A24=""," ",VLOOKUP(A24,'Български и испански език'!A:O,15,FALSE))</f>
        <v>0</v>
      </c>
      <c r="P24" s="17">
        <f>IF(O24=""," ",VLOOKUP(O24,'[8]2012 личен състав ОТД'!$A:$AO,13,FALSE))</f>
        <v>0</v>
      </c>
      <c r="Q24" s="17">
        <f>IF(O24=""," ",VLOOKUP(O24,'[8]2012 личен състав ОТД'!$A:$AO,12,FALSE))</f>
        <v>0</v>
      </c>
      <c r="R24" s="17" t="e">
        <f>IF(A24=""," ",VLOOKUP(A24,'Профилиращ лист'!A:B,2,FALSE))</f>
        <v>#N/A</v>
      </c>
      <c r="T24" s="17">
        <f t="shared" ca="1" si="0"/>
        <v>2013</v>
      </c>
    </row>
    <row r="25" spans="1:21" ht="15" hidden="1" x14ac:dyDescent="0.2">
      <c r="A25" s="8" t="s">
        <v>31</v>
      </c>
      <c r="B25" s="8">
        <v>30</v>
      </c>
      <c r="C25" s="4">
        <v>30</v>
      </c>
      <c r="D25" s="4">
        <v>30</v>
      </c>
      <c r="E25" s="4">
        <v>0</v>
      </c>
      <c r="F25" s="4">
        <f>C25-D25-E25</f>
        <v>0</v>
      </c>
      <c r="G25" s="4">
        <f>H25-C25</f>
        <v>60</v>
      </c>
      <c r="H25" s="4">
        <f t="shared" ref="H25:H33" si="12">I25*30</f>
        <v>90</v>
      </c>
      <c r="I25" s="4">
        <v>3</v>
      </c>
      <c r="J25" s="4" t="s">
        <v>14</v>
      </c>
      <c r="K25" s="75">
        <f t="shared" si="4"/>
        <v>75</v>
      </c>
      <c r="L25" s="75">
        <f t="shared" si="5"/>
        <v>60</v>
      </c>
      <c r="M25" s="75">
        <f t="shared" si="6"/>
        <v>15</v>
      </c>
      <c r="N25" s="17" t="str">
        <f>IF(O25=""," ",VLOOKUP(O25,'[8]2012 личен състав ОТД'!$A:$AO,2,FALSE))</f>
        <v xml:space="preserve">   </v>
      </c>
      <c r="O25" s="81">
        <f>IF(A25=""," ",VLOOKUP(A25,'Български и испански език'!A:O,15,FALSE))</f>
        <v>0</v>
      </c>
      <c r="P25" s="17">
        <f>IF(O25=""," ",VLOOKUP(O25,'[8]2012 личен състав ОТД'!$A:$AO,13,FALSE))</f>
        <v>0</v>
      </c>
      <c r="Q25" s="17">
        <f>IF(O25=""," ",VLOOKUP(O25,'[8]2012 личен състав ОТД'!$A:$AO,12,FALSE))</f>
        <v>0</v>
      </c>
      <c r="R25" s="17" t="str">
        <f>IF(A25=""," ",VLOOKUP(A25,'Профилиращ лист'!A:B,2,FALSE))</f>
        <v>СПЕ</v>
      </c>
      <c r="T25" s="17">
        <f t="shared" ca="1" si="0"/>
        <v>2013</v>
      </c>
    </row>
    <row r="26" spans="1:21" ht="15" x14ac:dyDescent="0.2">
      <c r="A26" s="8" t="s">
        <v>32</v>
      </c>
      <c r="B26" s="8">
        <v>15</v>
      </c>
      <c r="C26" s="4">
        <v>30</v>
      </c>
      <c r="D26" s="4">
        <v>30</v>
      </c>
      <c r="E26" s="4">
        <v>0</v>
      </c>
      <c r="F26" s="4">
        <f t="shared" ref="F26:F33" si="13">C26-D26-E26</f>
        <v>0</v>
      </c>
      <c r="G26" s="4">
        <f t="shared" ref="G26:G32" si="14">H26-C26</f>
        <v>60</v>
      </c>
      <c r="H26" s="4">
        <f t="shared" si="12"/>
        <v>90</v>
      </c>
      <c r="I26" s="4">
        <v>3</v>
      </c>
      <c r="J26" s="6" t="s">
        <v>12</v>
      </c>
      <c r="K26" s="75">
        <f t="shared" si="4"/>
        <v>30</v>
      </c>
      <c r="L26" s="75">
        <f t="shared" si="5"/>
        <v>30</v>
      </c>
      <c r="M26" s="75">
        <f t="shared" si="6"/>
        <v>0</v>
      </c>
      <c r="N26" s="17" t="str">
        <f>IF(O26=""," ",VLOOKUP(O26,'[8]2012 личен състав ОТД'!$A:$AO,2,FALSE))</f>
        <v>проф. д.с.н. Албена Хранова</v>
      </c>
      <c r="O26" s="81" t="s">
        <v>485</v>
      </c>
      <c r="P26" s="17">
        <f>IF(O26=""," ",VLOOKUP(O26,'[8]2012 личен състав ОТД'!$A:$AO,13,FALSE))</f>
        <v>1960</v>
      </c>
      <c r="Q26" s="17" t="str">
        <f>IF(O26=""," ",VLOOKUP(O26,'[8]2012 личен състав ОТД'!$A:$AO,12,FALSE))</f>
        <v>ОТД</v>
      </c>
      <c r="R26" s="17" t="str">
        <f>IF(A26=""," ",VLOOKUP(A26,'Профилиращ лист'!A:B,2,FALSE))</f>
        <v>ИЗБ</v>
      </c>
      <c r="T26" s="17">
        <f t="shared" ca="1" si="0"/>
        <v>53</v>
      </c>
    </row>
    <row r="27" spans="1:21" ht="15" x14ac:dyDescent="0.2">
      <c r="A27" s="8" t="s">
        <v>210</v>
      </c>
      <c r="B27" s="8">
        <v>30</v>
      </c>
      <c r="C27" s="4">
        <v>30</v>
      </c>
      <c r="D27" s="4">
        <v>15</v>
      </c>
      <c r="E27" s="4">
        <v>15</v>
      </c>
      <c r="F27" s="4">
        <f t="shared" si="13"/>
        <v>0</v>
      </c>
      <c r="G27" s="4">
        <f t="shared" si="14"/>
        <v>60</v>
      </c>
      <c r="H27" s="4">
        <f t="shared" si="12"/>
        <v>90</v>
      </c>
      <c r="I27" s="4">
        <v>3</v>
      </c>
      <c r="J27" s="4" t="s">
        <v>12</v>
      </c>
      <c r="K27" s="75">
        <f t="shared" si="4"/>
        <v>30</v>
      </c>
      <c r="L27" s="75">
        <f t="shared" si="5"/>
        <v>15</v>
      </c>
      <c r="M27" s="75">
        <f t="shared" si="6"/>
        <v>15</v>
      </c>
      <c r="N27" s="17" t="str">
        <f>IF(O27=""," ",VLOOKUP(O27,'[8]2012 личен състав ОТД'!$A:$AO,2,FALSE))</f>
        <v>ас.  Стефан  Иванчев</v>
      </c>
      <c r="O27" s="81" t="s">
        <v>521</v>
      </c>
      <c r="P27" s="17">
        <f>IF(O27=""," ",VLOOKUP(O27,'[8]2012 личен състав ОТД'!$A:$AO,13,FALSE))</f>
        <v>0</v>
      </c>
      <c r="Q27" s="17" t="str">
        <f>IF(O27=""," ",VLOOKUP(O27,'[8]2012 личен състав ОТД'!$A:$AO,12,FALSE))</f>
        <v>ХОН</v>
      </c>
      <c r="R27" s="81" t="s">
        <v>255</v>
      </c>
      <c r="S27" s="81"/>
      <c r="T27" s="81">
        <f t="shared" ca="1" si="0"/>
        <v>2013</v>
      </c>
      <c r="U27" s="81"/>
    </row>
    <row r="28" spans="1:21" ht="15" x14ac:dyDescent="0.2">
      <c r="A28" s="8" t="s">
        <v>34</v>
      </c>
      <c r="B28" s="8">
        <v>60</v>
      </c>
      <c r="C28" s="4">
        <v>60</v>
      </c>
      <c r="D28" s="4">
        <v>45</v>
      </c>
      <c r="E28" s="4">
        <v>15</v>
      </c>
      <c r="F28" s="4">
        <f t="shared" si="13"/>
        <v>0</v>
      </c>
      <c r="G28" s="4">
        <f t="shared" si="14"/>
        <v>60</v>
      </c>
      <c r="H28" s="4">
        <f t="shared" si="12"/>
        <v>120</v>
      </c>
      <c r="I28" s="4">
        <v>4</v>
      </c>
      <c r="J28" s="6" t="s">
        <v>12</v>
      </c>
      <c r="K28" s="75">
        <f t="shared" si="4"/>
        <v>60</v>
      </c>
      <c r="L28" s="75">
        <f t="shared" si="5"/>
        <v>45</v>
      </c>
      <c r="M28" s="75">
        <f t="shared" si="6"/>
        <v>15</v>
      </c>
      <c r="N28" s="17" t="str">
        <f>IF(O28=""," ",VLOOKUP(O28,'[8]2012 личен състав ОТД'!$A:$AO,2,FALSE))</f>
        <v>проф. д.п.н. Пламен Радев</v>
      </c>
      <c r="O28" s="81" t="str">
        <f>IF(A28=""," ",VLOOKUP(A28,'Български и испански език'!A:O,15,FALSE))</f>
        <v>радев</v>
      </c>
      <c r="P28" s="17">
        <f>IF(O28=""," ",VLOOKUP(O28,'[8]2012 личен състав ОТД'!$A:$AO,13,FALSE))</f>
        <v>1950</v>
      </c>
      <c r="Q28" s="17" t="str">
        <f>IF(O28=""," ",VLOOKUP(O28,'[8]2012 личен състав ОТД'!$A:$AO,12,FALSE))</f>
        <v>ОТД</v>
      </c>
      <c r="R28" s="17" t="str">
        <f>IF(A28=""," ",VLOOKUP(A28,'Профилиращ лист'!A:B,2,FALSE))</f>
        <v>ПЕД</v>
      </c>
      <c r="T28" s="17">
        <f t="shared" ca="1" si="0"/>
        <v>63</v>
      </c>
    </row>
    <row r="29" spans="1:21" ht="15" hidden="1" x14ac:dyDescent="0.2">
      <c r="A29" s="8" t="s">
        <v>206</v>
      </c>
      <c r="B29" s="8">
        <v>90</v>
      </c>
      <c r="C29" s="4">
        <v>105</v>
      </c>
      <c r="D29" s="4">
        <v>0</v>
      </c>
      <c r="E29" s="4">
        <v>0</v>
      </c>
      <c r="F29" s="4">
        <f t="shared" si="13"/>
        <v>105</v>
      </c>
      <c r="G29" s="4">
        <f t="shared" si="14"/>
        <v>135</v>
      </c>
      <c r="H29" s="4">
        <f t="shared" si="12"/>
        <v>240</v>
      </c>
      <c r="I29" s="4">
        <v>8</v>
      </c>
      <c r="J29" s="4" t="s">
        <v>14</v>
      </c>
      <c r="K29" s="75">
        <f t="shared" si="4"/>
        <v>630</v>
      </c>
      <c r="L29" s="75">
        <f t="shared" si="5"/>
        <v>0</v>
      </c>
      <c r="M29" s="75">
        <f t="shared" si="6"/>
        <v>630</v>
      </c>
      <c r="N29" s="17" t="e">
        <f>IF(O29=""," ",VLOOKUP(O29,'[8]2012 личен състав ОТД'!$A:$AO,2,FALSE))</f>
        <v>#N/A</v>
      </c>
      <c r="O29" s="81" t="e">
        <f>IF(A29=""," ",VLOOKUP(A29,'Български и испански език'!A:O,15,FALSE))</f>
        <v>#N/A</v>
      </c>
      <c r="P29" s="17" t="e">
        <f>IF(O29=""," ",VLOOKUP(O29,'[8]2012 личен състав ОТД'!$A:$AO,13,FALSE))</f>
        <v>#N/A</v>
      </c>
      <c r="Q29" s="17" t="e">
        <f>IF(O29=""," ",VLOOKUP(O29,'[8]2012 личен състав ОТД'!$A:$AO,12,FALSE))</f>
        <v>#N/A</v>
      </c>
      <c r="R29" s="17" t="e">
        <f>IF(A29=""," ",VLOOKUP(A29,'Профилиращ лист'!A:B,2,FALSE))</f>
        <v>#N/A</v>
      </c>
      <c r="T29" s="17" t="e">
        <f t="shared" ca="1" si="0"/>
        <v>#N/A</v>
      </c>
    </row>
    <row r="30" spans="1:21" ht="15" x14ac:dyDescent="0.2">
      <c r="A30" s="8" t="s">
        <v>35</v>
      </c>
      <c r="B30" s="8">
        <v>45</v>
      </c>
      <c r="C30" s="4">
        <v>45</v>
      </c>
      <c r="D30" s="4">
        <v>45</v>
      </c>
      <c r="E30" s="4">
        <v>0</v>
      </c>
      <c r="F30" s="4">
        <f t="shared" si="13"/>
        <v>0</v>
      </c>
      <c r="G30" s="4">
        <f t="shared" si="14"/>
        <v>45</v>
      </c>
      <c r="H30" s="4">
        <f t="shared" si="12"/>
        <v>90</v>
      </c>
      <c r="I30" s="4">
        <v>3</v>
      </c>
      <c r="J30" s="6" t="s">
        <v>12</v>
      </c>
      <c r="K30" s="75">
        <f t="shared" si="4"/>
        <v>45</v>
      </c>
      <c r="L30" s="75">
        <f t="shared" si="5"/>
        <v>45</v>
      </c>
      <c r="M30" s="75">
        <f t="shared" si="6"/>
        <v>0</v>
      </c>
      <c r="N30" s="17" t="str">
        <f>IF(O30=""," ",VLOOKUP(O30,'[8]2012 личен състав ОТД'!$A:$AO,2,FALSE))</f>
        <v>проф. д.п.н. Румен Стаматов</v>
      </c>
      <c r="O30" s="81" t="str">
        <f>IF(A30=""," ",VLOOKUP(A30,'Български и испански език'!A:O,15,FALSE))</f>
        <v>стаматов</v>
      </c>
      <c r="P30" s="17">
        <f>IF(O30=""," ",VLOOKUP(O30,'[8]2012 личен състав ОТД'!$A:$AO,13,FALSE))</f>
        <v>1953</v>
      </c>
      <c r="Q30" s="17" t="str">
        <f>IF(O30=""," ",VLOOKUP(O30,'[8]2012 личен състав ОТД'!$A:$AO,12,FALSE))</f>
        <v>ОТД</v>
      </c>
      <c r="R30" s="17" t="str">
        <f>IF(A30=""," ",VLOOKUP(A30,'Профилиращ лист'!A:B,2,FALSE))</f>
        <v>ПЕД</v>
      </c>
      <c r="T30" s="17">
        <f t="shared" ca="1" si="0"/>
        <v>60</v>
      </c>
    </row>
    <row r="31" spans="1:21" ht="15" x14ac:dyDescent="0.2">
      <c r="A31" s="8" t="s">
        <v>211</v>
      </c>
      <c r="B31" s="8">
        <v>30</v>
      </c>
      <c r="C31" s="4">
        <v>45</v>
      </c>
      <c r="D31" s="4">
        <v>30</v>
      </c>
      <c r="E31" s="4">
        <v>15</v>
      </c>
      <c r="F31" s="4">
        <f t="shared" si="13"/>
        <v>0</v>
      </c>
      <c r="G31" s="4">
        <f t="shared" si="14"/>
        <v>45</v>
      </c>
      <c r="H31" s="4">
        <f t="shared" si="12"/>
        <v>90</v>
      </c>
      <c r="I31" s="4">
        <v>3</v>
      </c>
      <c r="J31" s="6" t="s">
        <v>12</v>
      </c>
      <c r="K31" s="75">
        <f t="shared" si="4"/>
        <v>45</v>
      </c>
      <c r="L31" s="75">
        <f t="shared" si="5"/>
        <v>30</v>
      </c>
      <c r="M31" s="75">
        <f t="shared" si="6"/>
        <v>15</v>
      </c>
      <c r="N31" s="17" t="str">
        <f>IF(O31=""," ",VLOOKUP(O31,'[8]2012 личен състав ОТД'!$A:$AO,2,FALSE))</f>
        <v>доц. д-р Хун Сунджонг</v>
      </c>
      <c r="O31" s="81" t="s">
        <v>520</v>
      </c>
      <c r="P31" s="17">
        <f>IF(O31=""," ",VLOOKUP(O31,'[8]2012 личен състав ОТД'!$A:$AO,13,FALSE))</f>
        <v>1968</v>
      </c>
      <c r="Q31" s="17" t="str">
        <f>IF(O31=""," ",VLOOKUP(O31,'[8]2012 личен състав ОТД'!$A:$AO,12,FALSE))</f>
        <v>ОТД</v>
      </c>
      <c r="R31" s="81" t="s">
        <v>255</v>
      </c>
      <c r="S31" s="81"/>
      <c r="T31" s="81">
        <f t="shared" ca="1" si="0"/>
        <v>45</v>
      </c>
      <c r="U31" s="81"/>
    </row>
    <row r="32" spans="1:21" ht="15" x14ac:dyDescent="0.2">
      <c r="A32" s="8" t="s">
        <v>37</v>
      </c>
      <c r="B32" s="8">
        <v>30</v>
      </c>
      <c r="C32" s="4">
        <v>45</v>
      </c>
      <c r="D32" s="4">
        <v>30</v>
      </c>
      <c r="E32" s="4">
        <v>15</v>
      </c>
      <c r="F32" s="4">
        <f t="shared" si="13"/>
        <v>0</v>
      </c>
      <c r="G32" s="4">
        <f t="shared" si="14"/>
        <v>45</v>
      </c>
      <c r="H32" s="4">
        <f t="shared" si="12"/>
        <v>90</v>
      </c>
      <c r="I32" s="4">
        <v>3</v>
      </c>
      <c r="J32" s="6" t="s">
        <v>12</v>
      </c>
      <c r="K32" s="75">
        <f t="shared" si="4"/>
        <v>45</v>
      </c>
      <c r="L32" s="75">
        <f t="shared" si="5"/>
        <v>30</v>
      </c>
      <c r="M32" s="75">
        <f t="shared" si="6"/>
        <v>15</v>
      </c>
      <c r="N32" s="17" t="str">
        <f>IF(O32=""," ",VLOOKUP(O32,'[8]2012 личен състав ОТД'!$A:$AO,2,FALSE))</f>
        <v>гл. ас. д-р Иванка Гайдаджиева</v>
      </c>
      <c r="O32" s="81" t="str">
        <f>IF(A32=""," ",VLOOKUP(A32,'Български и испански език'!A:O,15,FALSE))</f>
        <v>гайдаджиева</v>
      </c>
      <c r="P32" s="17">
        <f>IF(O32=""," ",VLOOKUP(O32,'[8]2012 личен състав ОТД'!$A:$AO,13,FALSE))</f>
        <v>1958</v>
      </c>
      <c r="Q32" s="17" t="str">
        <f>IF(O32=""," ",VLOOKUP(O32,'[8]2012 личен състав ОТД'!$A:$AO,12,FALSE))</f>
        <v>ОТД</v>
      </c>
      <c r="R32" s="17" t="str">
        <f>IF(A32=""," ",VLOOKUP(A32,'Профилиращ лист'!A:B,2,FALSE))</f>
        <v>СПЕ</v>
      </c>
      <c r="T32" s="17">
        <f t="shared" ca="1" si="0"/>
        <v>55</v>
      </c>
    </row>
    <row r="33" spans="1:28" ht="15" hidden="1" x14ac:dyDescent="0.2">
      <c r="A33" s="8" t="s">
        <v>29</v>
      </c>
      <c r="B33" s="8">
        <v>30</v>
      </c>
      <c r="C33" s="4">
        <v>30</v>
      </c>
      <c r="D33" s="4">
        <v>0</v>
      </c>
      <c r="E33" s="4">
        <v>0</v>
      </c>
      <c r="F33" s="4">
        <f t="shared" si="13"/>
        <v>30</v>
      </c>
      <c r="G33" s="4">
        <v>0</v>
      </c>
      <c r="H33" s="4">
        <f t="shared" si="12"/>
        <v>0</v>
      </c>
      <c r="I33" s="5">
        <v>0</v>
      </c>
      <c r="J33" s="4" t="s">
        <v>14</v>
      </c>
      <c r="K33" s="75">
        <f t="shared" si="4"/>
        <v>60</v>
      </c>
      <c r="L33" s="75">
        <f t="shared" si="5"/>
        <v>0</v>
      </c>
      <c r="M33" s="75">
        <f t="shared" si="6"/>
        <v>60</v>
      </c>
      <c r="N33" s="17" t="str">
        <f>IF(O33=""," ",VLOOKUP(O33,'[8]2012 личен състав ОТД'!$A:$AO,2,FALSE))</f>
        <v xml:space="preserve">   </v>
      </c>
      <c r="O33" s="81">
        <f>IF(A33=""," ",VLOOKUP(A33,'Български и испански език'!A:O,15,FALSE))</f>
        <v>0</v>
      </c>
      <c r="P33" s="17">
        <f>IF(O33=""," ",VLOOKUP(O33,'[8]2012 личен състав ОТД'!$A:$AO,13,FALSE))</f>
        <v>0</v>
      </c>
      <c r="Q33" s="17">
        <f>IF(O33=""," ",VLOOKUP(O33,'[8]2012 личен състав ОТД'!$A:$AO,12,FALSE))</f>
        <v>0</v>
      </c>
      <c r="R33" s="17" t="str">
        <f>IF(A33=""," ",VLOOKUP(A33,'Профилиращ лист'!A:B,2,FALSE))</f>
        <v>ПЕД</v>
      </c>
      <c r="T33" s="17">
        <f t="shared" ca="1" si="0"/>
        <v>2013</v>
      </c>
    </row>
    <row r="34" spans="1:28" ht="15" hidden="1" x14ac:dyDescent="0.2">
      <c r="A34" s="8"/>
      <c r="B34" s="18">
        <f>SUM(B25:B32)</f>
        <v>330</v>
      </c>
      <c r="C34" s="18">
        <f>SUM(C25:C32)</f>
        <v>390</v>
      </c>
      <c r="D34" s="18">
        <f t="shared" ref="D34:I34" si="15">SUM(D25:D32)</f>
        <v>225</v>
      </c>
      <c r="E34" s="18">
        <f t="shared" si="15"/>
        <v>60</v>
      </c>
      <c r="F34" s="18">
        <f t="shared" si="15"/>
        <v>105</v>
      </c>
      <c r="G34" s="18">
        <f t="shared" si="15"/>
        <v>510</v>
      </c>
      <c r="H34" s="18">
        <f t="shared" si="15"/>
        <v>900</v>
      </c>
      <c r="I34" s="18">
        <f t="shared" si="15"/>
        <v>30</v>
      </c>
      <c r="J34" s="6"/>
      <c r="K34" s="75">
        <f t="shared" si="4"/>
        <v>0</v>
      </c>
      <c r="L34" s="75">
        <f t="shared" si="5"/>
        <v>0</v>
      </c>
      <c r="M34" s="75">
        <f t="shared" si="6"/>
        <v>0</v>
      </c>
      <c r="N34" s="17" t="e">
        <f>IF(O34=""," ",VLOOKUP(O34,'[8]2012 личен състав ОТД'!$A:$AO,2,FALSE))</f>
        <v>#N/A</v>
      </c>
      <c r="O34" s="81" t="str">
        <f>IF(A34=""," ",VLOOKUP(A34,'Български и испански език'!A:O,15,FALSE))</f>
        <v xml:space="preserve"> </v>
      </c>
      <c r="P34" s="17" t="e">
        <f>IF(O34=""," ",VLOOKUP(O34,'[8]2012 личен състав ОТД'!$A:$AO,13,FALSE))</f>
        <v>#N/A</v>
      </c>
      <c r="Q34" s="17" t="e">
        <f>IF(O34=""," ",VLOOKUP(O34,'[8]2012 личен състав ОТД'!$A:$AO,12,FALSE))</f>
        <v>#N/A</v>
      </c>
      <c r="R34" s="17" t="str">
        <f>IF(A34=""," ",VLOOKUP(A34,'Профилиращ лист'!A:B,2,FALSE))</f>
        <v xml:space="preserve"> </v>
      </c>
      <c r="T34" s="17" t="e">
        <f t="shared" ca="1" si="0"/>
        <v>#N/A</v>
      </c>
    </row>
    <row r="35" spans="1:28" ht="15" hidden="1" x14ac:dyDescent="0.2">
      <c r="A35" s="1" t="s">
        <v>38</v>
      </c>
      <c r="B35" s="1"/>
      <c r="C35" s="4"/>
      <c r="D35" s="4"/>
      <c r="E35" s="4"/>
      <c r="F35" s="4"/>
      <c r="G35" s="4"/>
      <c r="H35" s="4"/>
      <c r="I35" s="4"/>
      <c r="J35" s="6"/>
      <c r="K35" s="75">
        <f t="shared" si="4"/>
        <v>0</v>
      </c>
      <c r="L35" s="75">
        <f t="shared" si="5"/>
        <v>0</v>
      </c>
      <c r="M35" s="75">
        <f t="shared" si="6"/>
        <v>0</v>
      </c>
      <c r="N35" s="17" t="str">
        <f>IF(O35=""," ",VLOOKUP(O35,'[8]2012 личен състав ОТД'!$A:$AO,2,FALSE))</f>
        <v xml:space="preserve">   </v>
      </c>
      <c r="O35" s="81">
        <f>IF(A35=""," ",VLOOKUP(A35,'Български и испански език'!A:O,15,FALSE))</f>
        <v>0</v>
      </c>
      <c r="P35" s="17">
        <f>IF(O35=""," ",VLOOKUP(O35,'[8]2012 личен състав ОТД'!$A:$AO,13,FALSE))</f>
        <v>0</v>
      </c>
      <c r="Q35" s="17">
        <f>IF(O35=""," ",VLOOKUP(O35,'[8]2012 личен състав ОТД'!$A:$AO,12,FALSE))</f>
        <v>0</v>
      </c>
      <c r="R35" s="17" t="e">
        <f>IF(A35=""," ",VLOOKUP(A35,'Профилиращ лист'!A:B,2,FALSE))</f>
        <v>#N/A</v>
      </c>
      <c r="T35" s="17">
        <f t="shared" ref="T35:T66" ca="1" si="16">Години-P35</f>
        <v>2013</v>
      </c>
    </row>
    <row r="36" spans="1:28" ht="15" hidden="1" x14ac:dyDescent="0.2">
      <c r="A36" s="8" t="s">
        <v>39</v>
      </c>
      <c r="B36" s="8">
        <v>45</v>
      </c>
      <c r="C36" s="4">
        <v>45</v>
      </c>
      <c r="D36" s="4">
        <v>30</v>
      </c>
      <c r="E36" s="4">
        <v>15</v>
      </c>
      <c r="F36" s="4">
        <f>C36-D36-E36</f>
        <v>0</v>
      </c>
      <c r="G36" s="4">
        <f>H36-C36</f>
        <v>75</v>
      </c>
      <c r="H36" s="4">
        <f t="shared" ref="H36:H44" si="17">I36*30</f>
        <v>120</v>
      </c>
      <c r="I36" s="4">
        <v>4</v>
      </c>
      <c r="J36" s="6" t="s">
        <v>14</v>
      </c>
      <c r="K36" s="75">
        <f t="shared" si="4"/>
        <v>105</v>
      </c>
      <c r="L36" s="75">
        <f t="shared" si="5"/>
        <v>60</v>
      </c>
      <c r="M36" s="75">
        <f t="shared" si="6"/>
        <v>45</v>
      </c>
      <c r="N36" s="17" t="str">
        <f>IF(O36=""," ",VLOOKUP(O36,'[8]2012 личен състав ОТД'!$A:$AO,2,FALSE))</f>
        <v xml:space="preserve">   </v>
      </c>
      <c r="O36" s="81">
        <f>IF(A36=""," ",VLOOKUP(A36,'Български и испански език'!A:O,15,FALSE))</f>
        <v>0</v>
      </c>
      <c r="P36" s="17">
        <f>IF(O36=""," ",VLOOKUP(O36,'[8]2012 личен състав ОТД'!$A:$AO,13,FALSE))</f>
        <v>0</v>
      </c>
      <c r="Q36" s="17">
        <f>IF(O36=""," ",VLOOKUP(O36,'[8]2012 личен състав ОТД'!$A:$AO,12,FALSE))</f>
        <v>0</v>
      </c>
      <c r="R36" s="17" t="str">
        <f>IF(A36=""," ",VLOOKUP(A36,'Профилиращ лист'!A:B,2,FALSE))</f>
        <v>СПЕ</v>
      </c>
      <c r="T36" s="17">
        <f t="shared" ca="1" si="16"/>
        <v>2013</v>
      </c>
    </row>
    <row r="37" spans="1:28" ht="15" x14ac:dyDescent="0.2">
      <c r="A37" s="8" t="s">
        <v>31</v>
      </c>
      <c r="B37" s="8">
        <v>30</v>
      </c>
      <c r="C37" s="4">
        <v>45</v>
      </c>
      <c r="D37" s="4">
        <v>30</v>
      </c>
      <c r="E37" s="4">
        <v>15</v>
      </c>
      <c r="F37" s="4">
        <f t="shared" ref="F37:F44" si="18">C37-D37-E37</f>
        <v>0</v>
      </c>
      <c r="G37" s="4">
        <f t="shared" ref="G37:G44" si="19">H37-C37</f>
        <v>45</v>
      </c>
      <c r="H37" s="4">
        <f t="shared" si="17"/>
        <v>90</v>
      </c>
      <c r="I37" s="4">
        <v>3</v>
      </c>
      <c r="J37" s="6" t="s">
        <v>12</v>
      </c>
      <c r="K37" s="75">
        <f t="shared" si="4"/>
        <v>75</v>
      </c>
      <c r="L37" s="75">
        <f t="shared" si="5"/>
        <v>60</v>
      </c>
      <c r="M37" s="75">
        <f t="shared" si="6"/>
        <v>15</v>
      </c>
      <c r="N37" s="17" t="str">
        <f>IF(O37=""," ",VLOOKUP(O37,'[8]2012 личен състав ОТД'!$A:$AO,2,FALSE))</f>
        <v>доц. д-р Елена Гетова</v>
      </c>
      <c r="O37" s="81" t="s">
        <v>468</v>
      </c>
      <c r="P37" s="17">
        <f>IF(O37=""," ",VLOOKUP(O37,'[8]2012 личен състав ОТД'!$A:$AO,13,FALSE))</f>
        <v>1969</v>
      </c>
      <c r="Q37" s="17" t="str">
        <f>IF(O37=""," ",VLOOKUP(O37,'[8]2012 личен състав ОТД'!$A:$AO,12,FALSE))</f>
        <v>ОТД</v>
      </c>
      <c r="R37" s="17" t="str">
        <f>IF(A37=""," ",VLOOKUP(A37,'Профилиращ лист'!A:B,2,FALSE))</f>
        <v>СПЕ</v>
      </c>
      <c r="T37" s="17">
        <f t="shared" ca="1" si="16"/>
        <v>44</v>
      </c>
    </row>
    <row r="38" spans="1:28" ht="15" x14ac:dyDescent="0.2">
      <c r="A38" s="8" t="s">
        <v>40</v>
      </c>
      <c r="B38" s="8">
        <v>30</v>
      </c>
      <c r="C38" s="4">
        <v>45</v>
      </c>
      <c r="D38" s="4">
        <v>30</v>
      </c>
      <c r="E38" s="4">
        <v>15</v>
      </c>
      <c r="F38" s="4">
        <f>C38-D38-E38</f>
        <v>0</v>
      </c>
      <c r="G38" s="4">
        <f t="shared" si="19"/>
        <v>45</v>
      </c>
      <c r="H38" s="4">
        <f t="shared" si="17"/>
        <v>90</v>
      </c>
      <c r="I38" s="4">
        <v>3</v>
      </c>
      <c r="J38" s="4" t="s">
        <v>12</v>
      </c>
      <c r="K38" s="75">
        <f t="shared" si="4"/>
        <v>45</v>
      </c>
      <c r="L38" s="75">
        <f t="shared" si="5"/>
        <v>30</v>
      </c>
      <c r="M38" s="75">
        <f t="shared" si="6"/>
        <v>15</v>
      </c>
      <c r="N38" s="17" t="str">
        <f>IF(O38=""," ",VLOOKUP(O38,'[8]2012 личен състав ОТД'!$A:$AO,2,FALSE))</f>
        <v>проф. дфн Диана Иванова</v>
      </c>
      <c r="O38" s="81" t="str">
        <f>IF(A38=""," ",VLOOKUP(A38,'Български и испански език'!A:O,15,FALSE))</f>
        <v>диванова</v>
      </c>
      <c r="P38" s="17">
        <f>IF(O38=""," ",VLOOKUP(O38,'[8]2012 личен състав ОТД'!$A:$AO,13,FALSE))</f>
        <v>1950</v>
      </c>
      <c r="Q38" s="17" t="str">
        <f>IF(O38=""," ",VLOOKUP(O38,'[8]2012 личен състав ОТД'!$A:$AO,12,FALSE))</f>
        <v>ОТД</v>
      </c>
      <c r="R38" s="17" t="str">
        <f>IF(A38=""," ",VLOOKUP(A38,'Профилиращ лист'!A:B,2,FALSE))</f>
        <v>СПЕ</v>
      </c>
      <c r="T38" s="17">
        <f t="shared" ca="1" si="16"/>
        <v>63</v>
      </c>
    </row>
    <row r="39" spans="1:28" ht="15" x14ac:dyDescent="0.2">
      <c r="A39" s="8" t="s">
        <v>212</v>
      </c>
      <c r="B39" s="8">
        <v>30</v>
      </c>
      <c r="C39" s="4">
        <v>30</v>
      </c>
      <c r="D39" s="4">
        <v>15</v>
      </c>
      <c r="E39" s="4">
        <v>15</v>
      </c>
      <c r="F39" s="4">
        <f t="shared" si="18"/>
        <v>0</v>
      </c>
      <c r="G39" s="4">
        <f t="shared" si="19"/>
        <v>60</v>
      </c>
      <c r="H39" s="4">
        <f t="shared" si="17"/>
        <v>90</v>
      </c>
      <c r="I39" s="4">
        <v>3</v>
      </c>
      <c r="J39" s="6" t="s">
        <v>12</v>
      </c>
      <c r="K39" s="75">
        <f t="shared" si="4"/>
        <v>30</v>
      </c>
      <c r="L39" s="75">
        <f t="shared" si="5"/>
        <v>15</v>
      </c>
      <c r="M39" s="75">
        <f t="shared" si="6"/>
        <v>15</v>
      </c>
      <c r="N39" s="17" t="str">
        <f>IF(O39=""," ",VLOOKUP(O39,'[8]2012 личен състав ОТД'!$A:$AO,2,FALSE))</f>
        <v>ас.  Веселин  Карастойчев</v>
      </c>
      <c r="O39" s="81" t="s">
        <v>522</v>
      </c>
      <c r="P39" s="17">
        <f>IF(O39=""," ",VLOOKUP(O39,'[8]2012 личен състав ОТД'!$A:$AO,13,FALSE))</f>
        <v>0</v>
      </c>
      <c r="Q39" s="17" t="str">
        <f>IF(O39=""," ",VLOOKUP(O39,'[8]2012 личен състав ОТД'!$A:$AO,12,FALSE))</f>
        <v>ХОН</v>
      </c>
      <c r="R39" s="81" t="s">
        <v>255</v>
      </c>
      <c r="S39" s="81"/>
      <c r="T39" s="81">
        <f t="shared" ca="1" si="16"/>
        <v>2013</v>
      </c>
      <c r="U39" s="81"/>
    </row>
    <row r="40" spans="1:28" ht="15" hidden="1" x14ac:dyDescent="0.2">
      <c r="A40" s="8" t="s">
        <v>206</v>
      </c>
      <c r="B40" s="8">
        <v>90</v>
      </c>
      <c r="C40" s="4">
        <v>75</v>
      </c>
      <c r="D40" s="4">
        <v>0</v>
      </c>
      <c r="E40" s="4">
        <v>0</v>
      </c>
      <c r="F40" s="4">
        <f t="shared" si="18"/>
        <v>75</v>
      </c>
      <c r="G40" s="4">
        <f t="shared" si="19"/>
        <v>135</v>
      </c>
      <c r="H40" s="4">
        <f t="shared" si="17"/>
        <v>210</v>
      </c>
      <c r="I40" s="4">
        <v>7</v>
      </c>
      <c r="J40" s="6" t="s">
        <v>12</v>
      </c>
      <c r="K40" s="75">
        <f t="shared" si="4"/>
        <v>630</v>
      </c>
      <c r="L40" s="75">
        <f t="shared" si="5"/>
        <v>0</v>
      </c>
      <c r="M40" s="75">
        <f t="shared" si="6"/>
        <v>630</v>
      </c>
      <c r="N40" s="17" t="e">
        <f>IF(O40=""," ",VLOOKUP(O40,'[8]2012 личен състав ОТД'!$A:$AO,2,FALSE))</f>
        <v>#N/A</v>
      </c>
      <c r="O40" s="81" t="e">
        <f>IF(A40=""," ",VLOOKUP(A40,'Български и испански език'!A:O,15,FALSE))</f>
        <v>#N/A</v>
      </c>
      <c r="P40" s="17" t="e">
        <f>IF(O40=""," ",VLOOKUP(O40,'[8]2012 личен състав ОТД'!$A:$AO,13,FALSE))</f>
        <v>#N/A</v>
      </c>
      <c r="Q40" s="17" t="e">
        <f>IF(O40=""," ",VLOOKUP(O40,'[8]2012 личен състав ОТД'!$A:$AO,12,FALSE))</f>
        <v>#N/A</v>
      </c>
      <c r="R40" s="17" t="e">
        <f>IF(A40=""," ",VLOOKUP(A40,'Профилиращ лист'!A:B,2,FALSE))</f>
        <v>#N/A</v>
      </c>
      <c r="T40" s="17" t="e">
        <f t="shared" ca="1" si="16"/>
        <v>#N/A</v>
      </c>
    </row>
    <row r="41" spans="1:28" ht="15" x14ac:dyDescent="0.2">
      <c r="A41" s="8" t="s">
        <v>42</v>
      </c>
      <c r="B41" s="8">
        <v>60</v>
      </c>
      <c r="C41" s="4">
        <v>60</v>
      </c>
      <c r="D41" s="4">
        <v>60</v>
      </c>
      <c r="E41" s="4">
        <v>0</v>
      </c>
      <c r="F41" s="4">
        <f t="shared" si="18"/>
        <v>0</v>
      </c>
      <c r="G41" s="4">
        <f t="shared" si="19"/>
        <v>60</v>
      </c>
      <c r="H41" s="4">
        <f t="shared" si="17"/>
        <v>120</v>
      </c>
      <c r="I41" s="4">
        <v>4</v>
      </c>
      <c r="J41" s="4" t="s">
        <v>12</v>
      </c>
      <c r="K41" s="75">
        <f t="shared" si="4"/>
        <v>60</v>
      </c>
      <c r="L41" s="75">
        <f t="shared" si="5"/>
        <v>60</v>
      </c>
      <c r="M41" s="75">
        <f t="shared" si="6"/>
        <v>0</v>
      </c>
      <c r="N41" s="17" t="str">
        <f>IF(O41=""," ",VLOOKUP(O41,'[8]2012 личен състав ОТД'!$A:$AO,2,FALSE))</f>
        <v>доц. д-р Николай Нейчев</v>
      </c>
      <c r="O41" s="81" t="str">
        <f>IF(A41=""," ",VLOOKUP(A41,'Български и испански език'!A:O,15,FALSE))</f>
        <v>нейчев</v>
      </c>
      <c r="P41" s="17">
        <f>IF(O41=""," ",VLOOKUP(O41,'[8]2012 личен състав ОТД'!$A:$AO,13,FALSE))</f>
        <v>1959</v>
      </c>
      <c r="Q41" s="17" t="str">
        <f>IF(O41=""," ",VLOOKUP(O41,'[8]2012 личен състав ОТД'!$A:$AO,12,FALSE))</f>
        <v>ОТД</v>
      </c>
      <c r="R41" s="17" t="str">
        <f>IF(A41=""," ",VLOOKUP(A41,'Профилиращ лист'!A:B,2,FALSE))</f>
        <v>ОФД</v>
      </c>
      <c r="T41" s="17">
        <f t="shared" ca="1" si="16"/>
        <v>54</v>
      </c>
    </row>
    <row r="42" spans="1:28" ht="15" hidden="1" x14ac:dyDescent="0.2">
      <c r="A42" s="8" t="s">
        <v>213</v>
      </c>
      <c r="B42" s="8">
        <v>30</v>
      </c>
      <c r="C42" s="4">
        <v>30</v>
      </c>
      <c r="D42" s="4">
        <v>15</v>
      </c>
      <c r="E42" s="4">
        <v>15</v>
      </c>
      <c r="F42" s="4">
        <f t="shared" si="18"/>
        <v>0</v>
      </c>
      <c r="G42" s="4">
        <f t="shared" si="19"/>
        <v>30</v>
      </c>
      <c r="H42" s="4">
        <f t="shared" si="17"/>
        <v>60</v>
      </c>
      <c r="I42" s="4">
        <v>2</v>
      </c>
      <c r="J42" s="4" t="s">
        <v>14</v>
      </c>
      <c r="K42" s="75">
        <f t="shared" si="4"/>
        <v>60</v>
      </c>
      <c r="L42" s="75">
        <f t="shared" si="5"/>
        <v>30</v>
      </c>
      <c r="M42" s="75">
        <f t="shared" si="6"/>
        <v>30</v>
      </c>
      <c r="N42" s="17" t="e">
        <f>IF(O42=""," ",VLOOKUP(O42,'[8]2012 личен състав ОТД'!$A:$AO,2,FALSE))</f>
        <v>#N/A</v>
      </c>
      <c r="O42" s="81" t="e">
        <f>IF(A42=""," ",VLOOKUP(A42,'Български и испански език'!A:O,15,FALSE))</f>
        <v>#N/A</v>
      </c>
      <c r="P42" s="17" t="e">
        <f>IF(O42=""," ",VLOOKUP(O42,'[8]2012 личен състав ОТД'!$A:$AO,13,FALSE))</f>
        <v>#N/A</v>
      </c>
      <c r="Q42" s="17" t="e">
        <f>IF(O42=""," ",VLOOKUP(O42,'[8]2012 личен състав ОТД'!$A:$AO,12,FALSE))</f>
        <v>#N/A</v>
      </c>
      <c r="R42" s="17" t="e">
        <f>IF(A42=""," ",VLOOKUP(A42,'Профилиращ лист'!A:B,2,FALSE))</f>
        <v>#N/A</v>
      </c>
      <c r="T42" s="17" t="e">
        <f t="shared" ca="1" si="16"/>
        <v>#N/A</v>
      </c>
    </row>
    <row r="43" spans="1:28" ht="15" hidden="1" x14ac:dyDescent="0.2">
      <c r="A43" s="8" t="s">
        <v>44</v>
      </c>
      <c r="B43" s="8">
        <v>30</v>
      </c>
      <c r="C43" s="4">
        <v>45</v>
      </c>
      <c r="D43" s="4">
        <v>30</v>
      </c>
      <c r="E43" s="4">
        <v>15</v>
      </c>
      <c r="F43" s="4">
        <f t="shared" si="18"/>
        <v>0</v>
      </c>
      <c r="G43" s="4">
        <f t="shared" si="19"/>
        <v>15</v>
      </c>
      <c r="H43" s="4">
        <f t="shared" si="17"/>
        <v>60</v>
      </c>
      <c r="I43" s="4">
        <v>2</v>
      </c>
      <c r="J43" s="4" t="s">
        <v>14</v>
      </c>
      <c r="K43" s="75">
        <f t="shared" si="4"/>
        <v>90</v>
      </c>
      <c r="L43" s="75">
        <f t="shared" si="5"/>
        <v>60</v>
      </c>
      <c r="M43" s="75">
        <f t="shared" si="6"/>
        <v>30</v>
      </c>
      <c r="N43" s="17" t="str">
        <f>IF(O43=""," ",VLOOKUP(O43,'[8]2012 личен състав ОТД'!$A:$AO,2,FALSE))</f>
        <v xml:space="preserve">   </v>
      </c>
      <c r="O43" s="81">
        <f>IF(A43=""," ",VLOOKUP(A43,'Български и испански език'!A:O,15,FALSE))</f>
        <v>0</v>
      </c>
      <c r="P43" s="17">
        <f>IF(O43=""," ",VLOOKUP(O43,'[8]2012 личен състав ОТД'!$A:$AO,13,FALSE))</f>
        <v>0</v>
      </c>
      <c r="Q43" s="17">
        <f>IF(O43=""," ",VLOOKUP(O43,'[8]2012 личен състав ОТД'!$A:$AO,12,FALSE))</f>
        <v>0</v>
      </c>
      <c r="R43" s="17" t="str">
        <f>IF(A43=""," ",VLOOKUP(A43,'Профилиращ лист'!A:B,2,FALSE))</f>
        <v>СПЕ</v>
      </c>
      <c r="T43" s="17">
        <f t="shared" ca="1" si="16"/>
        <v>2013</v>
      </c>
      <c r="AB43" s="17" t="s">
        <v>574</v>
      </c>
    </row>
    <row r="44" spans="1:28" ht="15" x14ac:dyDescent="0.2">
      <c r="A44" s="8" t="s">
        <v>45</v>
      </c>
      <c r="B44" s="8">
        <v>30</v>
      </c>
      <c r="C44" s="4">
        <v>15</v>
      </c>
      <c r="D44" s="4">
        <v>15</v>
      </c>
      <c r="E44" s="4">
        <v>0</v>
      </c>
      <c r="F44" s="4">
        <f t="shared" si="18"/>
        <v>0</v>
      </c>
      <c r="G44" s="4">
        <f t="shared" si="19"/>
        <v>45</v>
      </c>
      <c r="H44" s="4">
        <f t="shared" si="17"/>
        <v>60</v>
      </c>
      <c r="I44" s="4">
        <v>2</v>
      </c>
      <c r="J44" s="6" t="s">
        <v>12</v>
      </c>
      <c r="K44" s="75">
        <f t="shared" si="4"/>
        <v>15</v>
      </c>
      <c r="L44" s="75">
        <f t="shared" si="5"/>
        <v>15</v>
      </c>
      <c r="M44" s="75">
        <f t="shared" si="6"/>
        <v>0</v>
      </c>
      <c r="N44" s="17" t="str">
        <f>IF(O44=""," ",VLOOKUP(O44,'[8]2012 личен състав ОТД'!$A:$AO,2,FALSE))</f>
        <v>гл. ас.  Райна Петрова</v>
      </c>
      <c r="O44" s="81" t="str">
        <f>IF(A44=""," ",VLOOKUP(A44,'Български и испански език'!A:O,15,FALSE))</f>
        <v>петрова</v>
      </c>
      <c r="P44" s="17">
        <f>IF(O44=""," ",VLOOKUP(O44,'[8]2012 личен състав ОТД'!$A:$AO,13,FALSE))</f>
        <v>1978</v>
      </c>
      <c r="Q44" s="17" t="str">
        <f>IF(O44=""," ",VLOOKUP(O44,'[8]2012 личен състав ОТД'!$A:$AO,12,FALSE))</f>
        <v>ОТД</v>
      </c>
      <c r="R44" s="17" t="str">
        <f>IF(A44=""," ",VLOOKUP(A44,'Профилиращ лист'!A:B,2,FALSE))</f>
        <v>ОФД</v>
      </c>
      <c r="T44" s="17">
        <f t="shared" ca="1" si="16"/>
        <v>35</v>
      </c>
    </row>
    <row r="45" spans="1:28" ht="15" hidden="1" x14ac:dyDescent="0.2">
      <c r="A45" s="8"/>
      <c r="B45" s="18">
        <f t="shared" ref="B45:I45" si="20">SUM(B36:B44)</f>
        <v>375</v>
      </c>
      <c r="C45" s="18">
        <f t="shared" si="20"/>
        <v>390</v>
      </c>
      <c r="D45" s="18">
        <f t="shared" si="20"/>
        <v>225</v>
      </c>
      <c r="E45" s="18">
        <f t="shared" si="20"/>
        <v>90</v>
      </c>
      <c r="F45" s="18">
        <f t="shared" si="20"/>
        <v>75</v>
      </c>
      <c r="G45" s="18">
        <f t="shared" si="20"/>
        <v>510</v>
      </c>
      <c r="H45" s="18">
        <f t="shared" si="20"/>
        <v>900</v>
      </c>
      <c r="I45" s="18">
        <f t="shared" si="20"/>
        <v>30</v>
      </c>
      <c r="J45" s="6"/>
      <c r="K45" s="75">
        <f t="shared" si="4"/>
        <v>0</v>
      </c>
      <c r="L45" s="75">
        <f t="shared" si="5"/>
        <v>0</v>
      </c>
      <c r="M45" s="75">
        <f t="shared" si="6"/>
        <v>0</v>
      </c>
      <c r="N45" s="17" t="e">
        <f>IF(O45=""," ",VLOOKUP(O45,'[8]2012 личен състав ОТД'!$A:$AO,2,FALSE))</f>
        <v>#N/A</v>
      </c>
      <c r="O45" s="81" t="str">
        <f>IF(A45=""," ",VLOOKUP(A45,'Български и испански език'!A:O,15,FALSE))</f>
        <v xml:space="preserve"> </v>
      </c>
      <c r="P45" s="17" t="e">
        <f>IF(O45=""," ",VLOOKUP(O45,'[8]2012 личен състав ОТД'!$A:$AO,13,FALSE))</f>
        <v>#N/A</v>
      </c>
      <c r="Q45" s="17" t="e">
        <f>IF(O45=""," ",VLOOKUP(O45,'[8]2012 личен състав ОТД'!$A:$AO,12,FALSE))</f>
        <v>#N/A</v>
      </c>
      <c r="R45" s="17" t="str">
        <f>IF(A45=""," ",VLOOKUP(A45,'Профилиращ лист'!A:B,2,FALSE))</f>
        <v xml:space="preserve"> </v>
      </c>
      <c r="T45" s="17" t="e">
        <f t="shared" ca="1" si="16"/>
        <v>#N/A</v>
      </c>
    </row>
    <row r="46" spans="1:28" ht="15" hidden="1" x14ac:dyDescent="0.2">
      <c r="A46" s="1" t="s">
        <v>46</v>
      </c>
      <c r="B46" s="1"/>
      <c r="C46" s="4"/>
      <c r="D46" s="4"/>
      <c r="E46" s="4"/>
      <c r="F46" s="4"/>
      <c r="G46" s="4"/>
      <c r="H46" s="4"/>
      <c r="I46" s="5"/>
      <c r="J46" s="6"/>
      <c r="K46" s="75">
        <f t="shared" si="4"/>
        <v>0</v>
      </c>
      <c r="L46" s="75">
        <f t="shared" si="5"/>
        <v>0</v>
      </c>
      <c r="M46" s="75">
        <f t="shared" si="6"/>
        <v>0</v>
      </c>
      <c r="N46" s="17" t="str">
        <f>IF(O46=""," ",VLOOKUP(O46,'[8]2012 личен състав ОТД'!$A:$AO,2,FALSE))</f>
        <v xml:space="preserve">   </v>
      </c>
      <c r="O46" s="81">
        <f>IF(A46=""," ",VLOOKUP(A46,'Български и испански език'!A:O,15,FALSE))</f>
        <v>0</v>
      </c>
      <c r="P46" s="17">
        <f>IF(O46=""," ",VLOOKUP(O46,'[8]2012 личен състав ОТД'!$A:$AO,13,FALSE))</f>
        <v>0</v>
      </c>
      <c r="Q46" s="17">
        <f>IF(O46=""," ",VLOOKUP(O46,'[8]2012 личен състав ОТД'!$A:$AO,12,FALSE))</f>
        <v>0</v>
      </c>
      <c r="R46" s="17" t="e">
        <f>IF(A46=""," ",VLOOKUP(A46,'Профилиращ лист'!A:B,2,FALSE))</f>
        <v>#N/A</v>
      </c>
      <c r="T46" s="17">
        <f t="shared" ca="1" si="16"/>
        <v>2013</v>
      </c>
    </row>
    <row r="47" spans="1:28" ht="15" x14ac:dyDescent="0.2">
      <c r="A47" s="8" t="s">
        <v>39</v>
      </c>
      <c r="B47" s="8">
        <v>30</v>
      </c>
      <c r="C47" s="4">
        <v>60</v>
      </c>
      <c r="D47" s="4">
        <v>30</v>
      </c>
      <c r="E47" s="4">
        <v>30</v>
      </c>
      <c r="F47" s="4">
        <f>C47-D47-E47</f>
        <v>0</v>
      </c>
      <c r="G47" s="4">
        <f>H47-C47</f>
        <v>60</v>
      </c>
      <c r="H47" s="4">
        <f t="shared" ref="H47:H55" si="21">I47*30</f>
        <v>120</v>
      </c>
      <c r="I47" s="4">
        <v>4</v>
      </c>
      <c r="J47" s="6" t="s">
        <v>12</v>
      </c>
      <c r="K47" s="75">
        <f t="shared" si="4"/>
        <v>105</v>
      </c>
      <c r="L47" s="75">
        <f t="shared" si="5"/>
        <v>60</v>
      </c>
      <c r="M47" s="75">
        <f t="shared" si="6"/>
        <v>45</v>
      </c>
      <c r="N47" s="17" t="str">
        <f>IF(O47=""," ",VLOOKUP(O47,'[8]2012 личен състав ОТД'!$A:$AO,2,FALSE))</f>
        <v>доц. д-р Светла Черпокова-Захариева</v>
      </c>
      <c r="O47" s="81" t="s">
        <v>472</v>
      </c>
      <c r="P47" s="17">
        <f>IF(O47=""," ",VLOOKUP(O47,'[8]2012 личен състав ОТД'!$A:$AO,13,FALSE))</f>
        <v>1967</v>
      </c>
      <c r="Q47" s="17" t="str">
        <f>IF(O47=""," ",VLOOKUP(O47,'[8]2012 личен състав ОТД'!$A:$AO,12,FALSE))</f>
        <v>ОТД</v>
      </c>
      <c r="R47" s="17" t="str">
        <f>IF(A47=""," ",VLOOKUP(A47,'Профилиращ лист'!A:B,2,FALSE))</f>
        <v>СПЕ</v>
      </c>
      <c r="T47" s="17">
        <f t="shared" ca="1" si="16"/>
        <v>46</v>
      </c>
    </row>
    <row r="48" spans="1:28" ht="15" hidden="1" x14ac:dyDescent="0.2">
      <c r="A48" s="8" t="s">
        <v>47</v>
      </c>
      <c r="B48" s="8">
        <v>30</v>
      </c>
      <c r="C48" s="4">
        <v>30</v>
      </c>
      <c r="D48" s="4">
        <v>30</v>
      </c>
      <c r="E48" s="4">
        <v>0</v>
      </c>
      <c r="F48" s="4">
        <f t="shared" ref="F48:F55" si="22">C48-D48-E48</f>
        <v>0</v>
      </c>
      <c r="G48" s="4">
        <f t="shared" ref="G48:G55" si="23">H48-C48</f>
        <v>30</v>
      </c>
      <c r="H48" s="4">
        <f t="shared" si="21"/>
        <v>60</v>
      </c>
      <c r="I48" s="4">
        <v>2</v>
      </c>
      <c r="J48" s="4" t="s">
        <v>14</v>
      </c>
      <c r="K48" s="75">
        <f t="shared" si="4"/>
        <v>90</v>
      </c>
      <c r="L48" s="75">
        <f t="shared" si="5"/>
        <v>60</v>
      </c>
      <c r="M48" s="75">
        <f t="shared" si="6"/>
        <v>30</v>
      </c>
      <c r="N48" s="17" t="str">
        <f>IF(O48=""," ",VLOOKUP(O48,'[8]2012 личен състав ОТД'!$A:$AO,2,FALSE))</f>
        <v xml:space="preserve">   </v>
      </c>
      <c r="O48" s="81">
        <f>IF(A48=""," ",VLOOKUP(A48,'Български и испански език'!A:O,15,FALSE))</f>
        <v>0</v>
      </c>
      <c r="P48" s="17">
        <f>IF(O48=""," ",VLOOKUP(O48,'[8]2012 личен състав ОТД'!$A:$AO,13,FALSE))</f>
        <v>0</v>
      </c>
      <c r="Q48" s="17">
        <f>IF(O48=""," ",VLOOKUP(O48,'[8]2012 личен състав ОТД'!$A:$AO,12,FALSE))</f>
        <v>0</v>
      </c>
      <c r="R48" s="17" t="str">
        <f>IF(A48=""," ",VLOOKUP(A48,'Профилиращ лист'!A:B,2,FALSE))</f>
        <v>СПЕ</v>
      </c>
      <c r="T48" s="17">
        <f t="shared" ca="1" si="16"/>
        <v>2013</v>
      </c>
    </row>
    <row r="49" spans="1:21" ht="15" x14ac:dyDescent="0.2">
      <c r="A49" s="8" t="s">
        <v>214</v>
      </c>
      <c r="B49" s="8">
        <v>45</v>
      </c>
      <c r="C49" s="4">
        <v>15</v>
      </c>
      <c r="D49" s="4">
        <v>15</v>
      </c>
      <c r="E49" s="4">
        <v>0</v>
      </c>
      <c r="F49" s="4">
        <f t="shared" si="22"/>
        <v>0</v>
      </c>
      <c r="G49" s="4">
        <f t="shared" si="23"/>
        <v>45</v>
      </c>
      <c r="H49" s="4">
        <f t="shared" si="21"/>
        <v>60</v>
      </c>
      <c r="I49" s="4">
        <v>2</v>
      </c>
      <c r="J49" s="4" t="s">
        <v>12</v>
      </c>
      <c r="K49" s="75">
        <f t="shared" si="4"/>
        <v>30</v>
      </c>
      <c r="L49" s="75">
        <f t="shared" si="5"/>
        <v>30</v>
      </c>
      <c r="M49" s="75">
        <f t="shared" si="6"/>
        <v>0</v>
      </c>
      <c r="N49" s="17" t="str">
        <f>IF(O49=""," ",VLOOKUP(O49,'[8]2012 личен състав ОТД'!$A:$AO,2,FALSE))</f>
        <v>ас.  Ема Шахинян</v>
      </c>
      <c r="O49" s="81" t="s">
        <v>523</v>
      </c>
      <c r="P49" s="17">
        <f>IF(O49=""," ",VLOOKUP(O49,'[8]2012 личен състав ОТД'!$A:$AO,13,FALSE))</f>
        <v>0</v>
      </c>
      <c r="Q49" s="17" t="str">
        <f>IF(O49=""," ",VLOOKUP(O49,'[8]2012 личен състав ОТД'!$A:$AO,12,FALSE))</f>
        <v>ХОН</v>
      </c>
      <c r="R49" s="81" t="s">
        <v>255</v>
      </c>
      <c r="S49" s="81"/>
      <c r="T49" s="81">
        <f t="shared" ca="1" si="16"/>
        <v>2013</v>
      </c>
      <c r="U49" s="81"/>
    </row>
    <row r="50" spans="1:21" ht="15" hidden="1" x14ac:dyDescent="0.2">
      <c r="A50" s="8" t="s">
        <v>49</v>
      </c>
      <c r="B50" s="8">
        <v>45</v>
      </c>
      <c r="C50" s="4">
        <v>30</v>
      </c>
      <c r="D50" s="4">
        <v>30</v>
      </c>
      <c r="E50" s="4">
        <v>0</v>
      </c>
      <c r="F50" s="4">
        <f t="shared" si="22"/>
        <v>0</v>
      </c>
      <c r="G50" s="4">
        <f t="shared" si="23"/>
        <v>30</v>
      </c>
      <c r="H50" s="4">
        <f t="shared" si="21"/>
        <v>60</v>
      </c>
      <c r="I50" s="4">
        <v>2</v>
      </c>
      <c r="J50" s="4" t="s">
        <v>14</v>
      </c>
      <c r="K50" s="75">
        <f t="shared" si="4"/>
        <v>75</v>
      </c>
      <c r="L50" s="75">
        <f t="shared" si="5"/>
        <v>60</v>
      </c>
      <c r="M50" s="75">
        <f t="shared" si="6"/>
        <v>15</v>
      </c>
      <c r="N50" s="17" t="str">
        <f>IF(O50=""," ",VLOOKUP(O50,'[8]2012 личен състав ОТД'!$A:$AO,2,FALSE))</f>
        <v xml:space="preserve">   </v>
      </c>
      <c r="O50" s="81">
        <f>IF(A50=""," ",VLOOKUP(A50,'Български и испански език'!A:O,15,FALSE))</f>
        <v>0</v>
      </c>
      <c r="P50" s="17">
        <f>IF(O50=""," ",VLOOKUP(O50,'[8]2012 личен състав ОТД'!$A:$AO,13,FALSE))</f>
        <v>0</v>
      </c>
      <c r="Q50" s="17">
        <f>IF(O50=""," ",VLOOKUP(O50,'[8]2012 личен състав ОТД'!$A:$AO,12,FALSE))</f>
        <v>0</v>
      </c>
      <c r="R50" s="17" t="str">
        <f>IF(A50=""," ",VLOOKUP(A50,'Профилиращ лист'!A:B,2,FALSE))</f>
        <v>ОФД</v>
      </c>
      <c r="T50" s="17">
        <f t="shared" ca="1" si="16"/>
        <v>2013</v>
      </c>
    </row>
    <row r="51" spans="1:21" ht="15" hidden="1" x14ac:dyDescent="0.2">
      <c r="A51" s="8" t="s">
        <v>206</v>
      </c>
      <c r="B51" s="8">
        <v>90</v>
      </c>
      <c r="C51" s="4">
        <v>105</v>
      </c>
      <c r="D51" s="4">
        <v>0</v>
      </c>
      <c r="E51" s="4">
        <v>0</v>
      </c>
      <c r="F51" s="4">
        <f t="shared" si="22"/>
        <v>105</v>
      </c>
      <c r="G51" s="4">
        <f t="shared" si="23"/>
        <v>105</v>
      </c>
      <c r="H51" s="4">
        <f t="shared" si="21"/>
        <v>210</v>
      </c>
      <c r="I51" s="4">
        <v>7</v>
      </c>
      <c r="J51" s="4" t="s">
        <v>14</v>
      </c>
      <c r="K51" s="75">
        <f t="shared" si="4"/>
        <v>630</v>
      </c>
      <c r="L51" s="75">
        <f t="shared" si="5"/>
        <v>0</v>
      </c>
      <c r="M51" s="75">
        <f t="shared" si="6"/>
        <v>630</v>
      </c>
      <c r="N51" s="17" t="e">
        <f>IF(O51=""," ",VLOOKUP(O51,'[8]2012 личен състав ОТД'!$A:$AO,2,FALSE))</f>
        <v>#N/A</v>
      </c>
      <c r="O51" s="81" t="e">
        <f>IF(A51=""," ",VLOOKUP(A51,'Български и испански език'!A:O,15,FALSE))</f>
        <v>#N/A</v>
      </c>
      <c r="P51" s="17" t="e">
        <f>IF(O51=""," ",VLOOKUP(O51,'[8]2012 личен състав ОТД'!$A:$AO,13,FALSE))</f>
        <v>#N/A</v>
      </c>
      <c r="Q51" s="17" t="e">
        <f>IF(O51=""," ",VLOOKUP(O51,'[8]2012 личен състав ОТД'!$A:$AO,12,FALSE))</f>
        <v>#N/A</v>
      </c>
      <c r="R51" s="17" t="e">
        <f>IF(A51=""," ",VLOOKUP(A51,'Профилиращ лист'!A:B,2,FALSE))</f>
        <v>#N/A</v>
      </c>
      <c r="T51" s="17" t="e">
        <f t="shared" ca="1" si="16"/>
        <v>#N/A</v>
      </c>
    </row>
    <row r="52" spans="1:21" ht="15" x14ac:dyDescent="0.2">
      <c r="A52" s="8" t="s">
        <v>58</v>
      </c>
      <c r="B52" s="8">
        <v>30</v>
      </c>
      <c r="C52" s="4">
        <v>15</v>
      </c>
      <c r="D52" s="4">
        <v>15</v>
      </c>
      <c r="E52" s="4">
        <v>0</v>
      </c>
      <c r="F52" s="4">
        <f t="shared" si="22"/>
        <v>0</v>
      </c>
      <c r="G52" s="4">
        <f t="shared" si="23"/>
        <v>45</v>
      </c>
      <c r="H52" s="4">
        <f t="shared" si="21"/>
        <v>60</v>
      </c>
      <c r="I52" s="4">
        <v>2</v>
      </c>
      <c r="J52" s="6" t="s">
        <v>12</v>
      </c>
      <c r="K52" s="75">
        <f t="shared" si="4"/>
        <v>15</v>
      </c>
      <c r="L52" s="75">
        <f t="shared" si="5"/>
        <v>15</v>
      </c>
      <c r="M52" s="75">
        <f t="shared" si="6"/>
        <v>0</v>
      </c>
      <c r="N52" s="17" t="str">
        <f>IF(O52=""," ",VLOOKUP(O52,'[8]2012 личен състав ОТД'!$A:$AO,2,FALSE))</f>
        <v>ас.  Веселин  Карастойчев</v>
      </c>
      <c r="O52" s="81" t="s">
        <v>522</v>
      </c>
      <c r="P52" s="17">
        <f>IF(O52=""," ",VLOOKUP(O52,'[8]2012 личен състав ОТД'!$A:$AO,13,FALSE))</f>
        <v>0</v>
      </c>
      <c r="Q52" s="17" t="str">
        <f>IF(O52=""," ",VLOOKUP(O52,'[8]2012 личен състав ОТД'!$A:$AO,12,FALSE))</f>
        <v>ХОН</v>
      </c>
      <c r="R52" s="17" t="str">
        <f>IF(A52=""," ",VLOOKUP(A52,'Профилиращ лист'!A:B,2,FALSE))</f>
        <v>ИЗБ</v>
      </c>
      <c r="T52" s="17">
        <f t="shared" ca="1" si="16"/>
        <v>2013</v>
      </c>
    </row>
    <row r="53" spans="1:21" ht="15" hidden="1" x14ac:dyDescent="0.2">
      <c r="A53" s="8" t="s">
        <v>215</v>
      </c>
      <c r="B53" s="8">
        <v>30</v>
      </c>
      <c r="C53" s="4">
        <v>30</v>
      </c>
      <c r="D53" s="4">
        <v>15</v>
      </c>
      <c r="E53" s="4">
        <v>15</v>
      </c>
      <c r="F53" s="4">
        <f t="shared" si="22"/>
        <v>0</v>
      </c>
      <c r="G53" s="4">
        <f t="shared" si="23"/>
        <v>60</v>
      </c>
      <c r="H53" s="4">
        <f t="shared" si="21"/>
        <v>90</v>
      </c>
      <c r="I53" s="4">
        <v>3</v>
      </c>
      <c r="J53" s="4" t="s">
        <v>14</v>
      </c>
      <c r="K53" s="75">
        <f t="shared" si="4"/>
        <v>60</v>
      </c>
      <c r="L53" s="75">
        <f t="shared" si="5"/>
        <v>30</v>
      </c>
      <c r="M53" s="75">
        <f t="shared" si="6"/>
        <v>30</v>
      </c>
      <c r="N53" s="17" t="e">
        <f>IF(O53=""," ",VLOOKUP(O53,'[8]2012 личен състав ОТД'!$A:$AO,2,FALSE))</f>
        <v>#N/A</v>
      </c>
      <c r="O53" s="81" t="e">
        <f>IF(A53=""," ",VLOOKUP(A53,'Български и испански език'!A:O,15,FALSE))</f>
        <v>#N/A</v>
      </c>
      <c r="P53" s="17" t="e">
        <f>IF(O53=""," ",VLOOKUP(O53,'[8]2012 личен състав ОТД'!$A:$AO,13,FALSE))</f>
        <v>#N/A</v>
      </c>
      <c r="Q53" s="17" t="e">
        <f>IF(O53=""," ",VLOOKUP(O53,'[8]2012 личен състав ОТД'!$A:$AO,12,FALSE))</f>
        <v>#N/A</v>
      </c>
      <c r="R53" s="17" t="e">
        <f>IF(A53=""," ",VLOOKUP(A53,'Профилиращ лист'!A:B,2,FALSE))</f>
        <v>#N/A</v>
      </c>
      <c r="T53" s="17" t="e">
        <f t="shared" ca="1" si="16"/>
        <v>#N/A</v>
      </c>
    </row>
    <row r="54" spans="1:21" ht="15" x14ac:dyDescent="0.2">
      <c r="A54" s="8" t="s">
        <v>213</v>
      </c>
      <c r="B54" s="8">
        <v>30</v>
      </c>
      <c r="C54" s="4">
        <v>30</v>
      </c>
      <c r="D54" s="4">
        <v>15</v>
      </c>
      <c r="E54" s="4">
        <v>15</v>
      </c>
      <c r="F54" s="4">
        <f t="shared" si="22"/>
        <v>0</v>
      </c>
      <c r="G54" s="4">
        <f t="shared" si="23"/>
        <v>60</v>
      </c>
      <c r="H54" s="4">
        <f t="shared" si="21"/>
        <v>90</v>
      </c>
      <c r="I54" s="4">
        <v>3</v>
      </c>
      <c r="J54" s="6" t="s">
        <v>12</v>
      </c>
      <c r="K54" s="75">
        <f t="shared" si="4"/>
        <v>60</v>
      </c>
      <c r="L54" s="75">
        <f t="shared" si="5"/>
        <v>30</v>
      </c>
      <c r="M54" s="75">
        <f t="shared" si="6"/>
        <v>30</v>
      </c>
      <c r="N54" s="17" t="str">
        <f>IF(O54=""," ",VLOOKUP(O54,'[8]2012 личен състав ОТД'!$A:$AO,2,FALSE))</f>
        <v>доц. д-р Хун Сунджонг</v>
      </c>
      <c r="O54" s="81" t="s">
        <v>520</v>
      </c>
      <c r="P54" s="17">
        <f>IF(O54=""," ",VLOOKUP(O54,'[8]2012 личен състав ОТД'!$A:$AO,13,FALSE))</f>
        <v>1968</v>
      </c>
      <c r="Q54" s="17" t="str">
        <f>IF(O54=""," ",VLOOKUP(O54,'[8]2012 личен състав ОТД'!$A:$AO,12,FALSE))</f>
        <v>ОТД</v>
      </c>
      <c r="R54" s="81" t="s">
        <v>255</v>
      </c>
      <c r="S54" s="81"/>
      <c r="T54" s="81">
        <f t="shared" ca="1" si="16"/>
        <v>45</v>
      </c>
      <c r="U54" s="81"/>
    </row>
    <row r="55" spans="1:21" ht="15" x14ac:dyDescent="0.2">
      <c r="A55" s="8" t="s">
        <v>44</v>
      </c>
      <c r="B55" s="8">
        <v>45</v>
      </c>
      <c r="C55" s="4">
        <v>45</v>
      </c>
      <c r="D55" s="4">
        <v>30</v>
      </c>
      <c r="E55" s="4">
        <v>15</v>
      </c>
      <c r="F55" s="4">
        <f t="shared" si="22"/>
        <v>0</v>
      </c>
      <c r="G55" s="4">
        <f t="shared" si="23"/>
        <v>45</v>
      </c>
      <c r="H55" s="4">
        <f t="shared" si="21"/>
        <v>90</v>
      </c>
      <c r="I55" s="4">
        <v>3</v>
      </c>
      <c r="J55" s="6" t="s">
        <v>12</v>
      </c>
      <c r="K55" s="75">
        <f t="shared" si="4"/>
        <v>90</v>
      </c>
      <c r="L55" s="75">
        <f t="shared" si="5"/>
        <v>60</v>
      </c>
      <c r="M55" s="75">
        <f t="shared" si="6"/>
        <v>30</v>
      </c>
      <c r="N55" s="17" t="str">
        <f>IF(O55=""," ",VLOOKUP(O55,'[8]2012 личен състав ОТД'!$A:$AO,2,FALSE))</f>
        <v>доц. д-р Константин Куцаров</v>
      </c>
      <c r="O55" s="81" t="s">
        <v>491</v>
      </c>
      <c r="P55" s="17">
        <f>IF(O55=""," ",VLOOKUP(O55,'[8]2012 личен състав ОТД'!$A:$AO,13,FALSE))</f>
        <v>1968</v>
      </c>
      <c r="Q55" s="17" t="str">
        <f>IF(O55=""," ",VLOOKUP(O55,'[8]2012 личен състав ОТД'!$A:$AO,12,FALSE))</f>
        <v>ОТД</v>
      </c>
      <c r="R55" s="17" t="str">
        <f>IF(A55=""," ",VLOOKUP(A55,'Профилиращ лист'!A:B,2,FALSE))</f>
        <v>СПЕ</v>
      </c>
      <c r="T55" s="17">
        <f t="shared" ca="1" si="16"/>
        <v>45</v>
      </c>
    </row>
    <row r="56" spans="1:21" ht="15" hidden="1" x14ac:dyDescent="0.2">
      <c r="A56" s="8"/>
      <c r="B56" s="18">
        <f t="shared" ref="B56:I56" si="24">SUM(B47:B55)</f>
        <v>375</v>
      </c>
      <c r="C56" s="18">
        <f t="shared" si="24"/>
        <v>360</v>
      </c>
      <c r="D56" s="18">
        <f t="shared" si="24"/>
        <v>180</v>
      </c>
      <c r="E56" s="18">
        <f t="shared" si="24"/>
        <v>75</v>
      </c>
      <c r="F56" s="18">
        <f t="shared" si="24"/>
        <v>105</v>
      </c>
      <c r="G56" s="18">
        <f t="shared" si="24"/>
        <v>480</v>
      </c>
      <c r="H56" s="18">
        <f t="shared" si="24"/>
        <v>840</v>
      </c>
      <c r="I56" s="18">
        <f t="shared" si="24"/>
        <v>28</v>
      </c>
      <c r="J56" s="6"/>
      <c r="K56" s="75">
        <f t="shared" si="4"/>
        <v>0</v>
      </c>
      <c r="L56" s="75">
        <f t="shared" si="5"/>
        <v>0</v>
      </c>
      <c r="M56" s="75">
        <f t="shared" si="6"/>
        <v>0</v>
      </c>
      <c r="N56" s="17" t="e">
        <f>IF(O56=""," ",VLOOKUP(O56,'[8]2012 личен състав ОТД'!$A:$AO,2,FALSE))</f>
        <v>#N/A</v>
      </c>
      <c r="O56" s="81" t="str">
        <f>IF(A56=""," ",VLOOKUP(A56,'Български и испански език'!A:O,15,FALSE))</f>
        <v xml:space="preserve"> </v>
      </c>
      <c r="P56" s="17" t="e">
        <f>IF(O56=""," ",VLOOKUP(O56,'[8]2012 личен състав ОТД'!$A:$AO,13,FALSE))</f>
        <v>#N/A</v>
      </c>
      <c r="Q56" s="17" t="e">
        <f>IF(O56=""," ",VLOOKUP(O56,'[8]2012 личен състав ОТД'!$A:$AO,12,FALSE))</f>
        <v>#N/A</v>
      </c>
      <c r="R56" s="17" t="str">
        <f>IF(A56=""," ",VLOOKUP(A56,'Профилиращ лист'!A:B,2,FALSE))</f>
        <v xml:space="preserve"> </v>
      </c>
      <c r="T56" s="17" t="e">
        <f t="shared" ca="1" si="16"/>
        <v>#N/A</v>
      </c>
    </row>
    <row r="57" spans="1:21" ht="15" hidden="1" x14ac:dyDescent="0.2">
      <c r="A57" s="1" t="s">
        <v>0</v>
      </c>
      <c r="B57" s="1" t="s">
        <v>1</v>
      </c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  <c r="H57" s="2" t="s">
        <v>7</v>
      </c>
      <c r="I57" s="2" t="s">
        <v>8</v>
      </c>
      <c r="J57" s="2" t="s">
        <v>9</v>
      </c>
      <c r="K57" s="75">
        <f t="shared" si="4"/>
        <v>0</v>
      </c>
      <c r="L57" s="75">
        <f t="shared" si="5"/>
        <v>0</v>
      </c>
      <c r="M57" s="75">
        <f t="shared" si="6"/>
        <v>0</v>
      </c>
      <c r="N57" s="17" t="e">
        <f>IF(O57=""," ",VLOOKUP(O57,'[8]2012 личен състав ОТД'!$A:$AO,2,FALSE))</f>
        <v>#N/A</v>
      </c>
      <c r="O57" s="81" t="e">
        <f>IF(A57=""," ",VLOOKUP(A57,'Български и испански език'!A:O,15,FALSE))</f>
        <v>#N/A</v>
      </c>
      <c r="P57" s="17" t="e">
        <f>IF(O57=""," ",VLOOKUP(O57,'[8]2012 личен състав ОТД'!$A:$AO,13,FALSE))</f>
        <v>#N/A</v>
      </c>
      <c r="Q57" s="17" t="e">
        <f>IF(O57=""," ",VLOOKUP(O57,'[8]2012 личен състав ОТД'!$A:$AO,12,FALSE))</f>
        <v>#N/A</v>
      </c>
      <c r="R57" s="17">
        <f>IF(A57=""," ",VLOOKUP(A57,'Профилиращ лист'!A:B,2,FALSE))</f>
        <v>0</v>
      </c>
      <c r="T57" s="17" t="e">
        <f t="shared" ca="1" si="16"/>
        <v>#N/A</v>
      </c>
    </row>
    <row r="58" spans="1:21" ht="15" hidden="1" x14ac:dyDescent="0.2">
      <c r="A58" s="1" t="s">
        <v>51</v>
      </c>
      <c r="B58" s="1"/>
      <c r="C58" s="4"/>
      <c r="D58" s="4"/>
      <c r="E58" s="4"/>
      <c r="F58" s="4"/>
      <c r="G58" s="4"/>
      <c r="H58" s="4"/>
      <c r="I58" s="5"/>
      <c r="J58" s="6"/>
      <c r="K58" s="75">
        <f t="shared" si="4"/>
        <v>0</v>
      </c>
      <c r="L58" s="75">
        <f t="shared" si="5"/>
        <v>0</v>
      </c>
      <c r="M58" s="75">
        <f t="shared" si="6"/>
        <v>0</v>
      </c>
      <c r="N58" s="17" t="str">
        <f>IF(O58=""," ",VLOOKUP(O58,'[8]2012 личен състав ОТД'!$A:$AO,2,FALSE))</f>
        <v xml:space="preserve">   </v>
      </c>
      <c r="O58" s="81">
        <f>IF(A58=""," ",VLOOKUP(A58,'Български и испански език'!A:O,15,FALSE))</f>
        <v>0</v>
      </c>
      <c r="P58" s="17">
        <f>IF(O58=""," ",VLOOKUP(O58,'[8]2012 личен състав ОТД'!$A:$AO,13,FALSE))</f>
        <v>0</v>
      </c>
      <c r="Q58" s="17">
        <f>IF(O58=""," ",VLOOKUP(O58,'[8]2012 личен състав ОТД'!$A:$AO,12,FALSE))</f>
        <v>0</v>
      </c>
      <c r="R58" s="17" t="e">
        <f>IF(A58=""," ",VLOOKUP(A58,'Профилиращ лист'!A:B,2,FALSE))</f>
        <v>#N/A</v>
      </c>
      <c r="T58" s="17">
        <f t="shared" ca="1" si="16"/>
        <v>2013</v>
      </c>
    </row>
    <row r="59" spans="1:21" ht="15" x14ac:dyDescent="0.2">
      <c r="A59" s="8" t="s">
        <v>47</v>
      </c>
      <c r="B59" s="8">
        <v>45</v>
      </c>
      <c r="C59" s="4">
        <v>60</v>
      </c>
      <c r="D59" s="4">
        <v>30</v>
      </c>
      <c r="E59" s="4">
        <v>30</v>
      </c>
      <c r="F59" s="4">
        <f>C59-D59-E59</f>
        <v>0</v>
      </c>
      <c r="G59" s="4">
        <f>H59-C59</f>
        <v>60</v>
      </c>
      <c r="H59" s="4">
        <f t="shared" ref="H59:H68" si="25">I59*30</f>
        <v>120</v>
      </c>
      <c r="I59" s="4">
        <v>4</v>
      </c>
      <c r="J59" s="6" t="s">
        <v>12</v>
      </c>
      <c r="K59" s="75">
        <f t="shared" si="4"/>
        <v>90</v>
      </c>
      <c r="L59" s="75">
        <f t="shared" si="5"/>
        <v>60</v>
      </c>
      <c r="M59" s="75">
        <f t="shared" si="6"/>
        <v>30</v>
      </c>
      <c r="N59" s="17" t="str">
        <f>IF(O59=""," ",VLOOKUP(O59,'[8]2012 личен състав ОТД'!$A:$AO,2,FALSE))</f>
        <v>доц. д-р Иван Русков</v>
      </c>
      <c r="O59" s="81" t="s">
        <v>492</v>
      </c>
      <c r="P59" s="17">
        <f>IF(O59=""," ",VLOOKUP(O59,'[8]2012 личен състав ОТД'!$A:$AO,13,FALSE))</f>
        <v>1960</v>
      </c>
      <c r="Q59" s="17" t="str">
        <f>IF(O59=""," ",VLOOKUP(O59,'[8]2012 личен състав ОТД'!$A:$AO,12,FALSE))</f>
        <v>ОТД</v>
      </c>
      <c r="R59" s="17" t="str">
        <f>IF(A59=""," ",VLOOKUP(A59,'Профилиращ лист'!A:B,2,FALSE))</f>
        <v>СПЕ</v>
      </c>
      <c r="T59" s="17">
        <f t="shared" ca="1" si="16"/>
        <v>53</v>
      </c>
    </row>
    <row r="60" spans="1:21" ht="15" x14ac:dyDescent="0.2">
      <c r="A60" s="8" t="s">
        <v>214</v>
      </c>
      <c r="B60" s="8">
        <v>0</v>
      </c>
      <c r="C60" s="4">
        <v>15</v>
      </c>
      <c r="D60" s="4">
        <v>15</v>
      </c>
      <c r="E60" s="4">
        <v>0</v>
      </c>
      <c r="F60" s="4">
        <f t="shared" ref="F60:F68" si="26">C60-D60-E60</f>
        <v>0</v>
      </c>
      <c r="G60" s="4">
        <f t="shared" ref="G60:G68" si="27">H60-C60</f>
        <v>45</v>
      </c>
      <c r="H60" s="4">
        <f t="shared" si="25"/>
        <v>60</v>
      </c>
      <c r="I60" s="4">
        <v>2</v>
      </c>
      <c r="J60" s="6" t="s">
        <v>12</v>
      </c>
      <c r="K60" s="75">
        <f t="shared" si="4"/>
        <v>30</v>
      </c>
      <c r="L60" s="75">
        <f t="shared" si="5"/>
        <v>30</v>
      </c>
      <c r="M60" s="75">
        <f t="shared" si="6"/>
        <v>0</v>
      </c>
      <c r="N60" s="17" t="str">
        <f>IF(O60=""," ",VLOOKUP(O60,'[8]2012 личен състав ОТД'!$A:$AO,2,FALSE))</f>
        <v>доц. д-р Хун Сунджонг</v>
      </c>
      <c r="O60" s="81" t="s">
        <v>520</v>
      </c>
      <c r="P60" s="17">
        <f>IF(O60=""," ",VLOOKUP(O60,'[8]2012 личен състав ОТД'!$A:$AO,13,FALSE))</f>
        <v>1968</v>
      </c>
      <c r="Q60" s="17" t="str">
        <f>IF(O60=""," ",VLOOKUP(O60,'[8]2012 личен състав ОТД'!$A:$AO,12,FALSE))</f>
        <v>ОТД</v>
      </c>
      <c r="R60" s="81" t="s">
        <v>255</v>
      </c>
      <c r="S60" s="81"/>
      <c r="T60" s="81">
        <f t="shared" ca="1" si="16"/>
        <v>45</v>
      </c>
      <c r="U60" s="81"/>
    </row>
    <row r="61" spans="1:21" ht="15" x14ac:dyDescent="0.2">
      <c r="A61" s="8" t="s">
        <v>49</v>
      </c>
      <c r="B61" s="8">
        <v>45</v>
      </c>
      <c r="C61" s="4">
        <v>45</v>
      </c>
      <c r="D61" s="4">
        <v>30</v>
      </c>
      <c r="E61" s="4">
        <v>15</v>
      </c>
      <c r="F61" s="4">
        <f t="shared" si="26"/>
        <v>0</v>
      </c>
      <c r="G61" s="4">
        <f t="shared" si="27"/>
        <v>75</v>
      </c>
      <c r="H61" s="4">
        <f t="shared" si="25"/>
        <v>120</v>
      </c>
      <c r="I61" s="4">
        <v>4</v>
      </c>
      <c r="J61" s="6" t="s">
        <v>12</v>
      </c>
      <c r="K61" s="75">
        <f t="shared" si="4"/>
        <v>75</v>
      </c>
      <c r="L61" s="75">
        <f t="shared" si="5"/>
        <v>60</v>
      </c>
      <c r="M61" s="75">
        <f t="shared" si="6"/>
        <v>15</v>
      </c>
      <c r="N61" s="17" t="str">
        <f>IF(O61=""," ",VLOOKUP(O61,'[8]2012 личен състав ОТД'!$A:$AO,2,FALSE))</f>
        <v>проф. дфн Диана Иванова</v>
      </c>
      <c r="O61" s="81" t="s">
        <v>469</v>
      </c>
      <c r="P61" s="17">
        <f>IF(O61=""," ",VLOOKUP(O61,'[8]2012 личен състав ОТД'!$A:$AO,13,FALSE))</f>
        <v>1950</v>
      </c>
      <c r="Q61" s="17" t="str">
        <f>IF(O61=""," ",VLOOKUP(O61,'[8]2012 личен състав ОТД'!$A:$AO,12,FALSE))</f>
        <v>ОТД</v>
      </c>
      <c r="R61" s="17" t="str">
        <f>IF(A61=""," ",VLOOKUP(A61,'Профилиращ лист'!A:B,2,FALSE))</f>
        <v>ОФД</v>
      </c>
      <c r="T61" s="17">
        <f t="shared" ca="1" si="16"/>
        <v>63</v>
      </c>
    </row>
    <row r="62" spans="1:21" ht="15" hidden="1" x14ac:dyDescent="0.2">
      <c r="A62" s="8" t="s">
        <v>216</v>
      </c>
      <c r="B62" s="8">
        <v>90</v>
      </c>
      <c r="C62" s="4">
        <v>105</v>
      </c>
      <c r="D62" s="4">
        <v>0</v>
      </c>
      <c r="E62" s="4">
        <v>0</v>
      </c>
      <c r="F62" s="4">
        <f t="shared" si="26"/>
        <v>105</v>
      </c>
      <c r="G62" s="4">
        <f t="shared" si="27"/>
        <v>105</v>
      </c>
      <c r="H62" s="4">
        <f t="shared" si="25"/>
        <v>210</v>
      </c>
      <c r="I62" s="4">
        <v>7</v>
      </c>
      <c r="J62" s="6" t="s">
        <v>12</v>
      </c>
      <c r="K62" s="75">
        <f t="shared" si="4"/>
        <v>105</v>
      </c>
      <c r="L62" s="75">
        <f t="shared" si="5"/>
        <v>0</v>
      </c>
      <c r="M62" s="75">
        <f t="shared" si="6"/>
        <v>105</v>
      </c>
      <c r="N62" s="17" t="e">
        <f>IF(O62=""," ",VLOOKUP(O62,'[8]2012 личен състав ОТД'!$A:$AO,2,FALSE))</f>
        <v>#N/A</v>
      </c>
      <c r="O62" s="81" t="e">
        <f>IF(A62=""," ",VLOOKUP(A62,'Български и испански език'!A:O,15,FALSE))</f>
        <v>#N/A</v>
      </c>
      <c r="P62" s="17" t="e">
        <f>IF(O62=""," ",VLOOKUP(O62,'[8]2012 личен състав ОТД'!$A:$AO,13,FALSE))</f>
        <v>#N/A</v>
      </c>
      <c r="Q62" s="17" t="e">
        <f>IF(O62=""," ",VLOOKUP(O62,'[8]2012 личен състав ОТД'!$A:$AO,12,FALSE))</f>
        <v>#N/A</v>
      </c>
      <c r="R62" s="17" t="e">
        <f>IF(A62=""," ",VLOOKUP(A62,'Профилиращ лист'!A:B,2,FALSE))</f>
        <v>#N/A</v>
      </c>
      <c r="T62" s="17" t="e">
        <f t="shared" ca="1" si="16"/>
        <v>#N/A</v>
      </c>
    </row>
    <row r="63" spans="1:21" ht="15" x14ac:dyDescent="0.2">
      <c r="A63" s="8" t="s">
        <v>215</v>
      </c>
      <c r="B63" s="8">
        <v>30</v>
      </c>
      <c r="C63" s="4">
        <v>30</v>
      </c>
      <c r="D63" s="4">
        <v>15</v>
      </c>
      <c r="E63" s="4">
        <v>15</v>
      </c>
      <c r="F63" s="4">
        <f t="shared" si="26"/>
        <v>0</v>
      </c>
      <c r="G63" s="4">
        <f t="shared" si="27"/>
        <v>60</v>
      </c>
      <c r="H63" s="4">
        <f t="shared" si="25"/>
        <v>90</v>
      </c>
      <c r="I63" s="4">
        <v>3</v>
      </c>
      <c r="J63" s="6" t="s">
        <v>12</v>
      </c>
      <c r="K63" s="75">
        <f t="shared" si="4"/>
        <v>60</v>
      </c>
      <c r="L63" s="75">
        <f t="shared" si="5"/>
        <v>30</v>
      </c>
      <c r="M63" s="75">
        <f t="shared" si="6"/>
        <v>30</v>
      </c>
      <c r="N63" s="17" t="str">
        <f>IF(O63=""," ",VLOOKUP(O63,'[8]2012 личен състав ОТД'!$A:$AO,2,FALSE))</f>
        <v>ас.  Веселин  Карастойчев</v>
      </c>
      <c r="O63" s="81" t="s">
        <v>522</v>
      </c>
      <c r="P63" s="17">
        <f>IF(O63=""," ",VLOOKUP(O63,'[8]2012 личен състав ОТД'!$A:$AO,13,FALSE))</f>
        <v>0</v>
      </c>
      <c r="Q63" s="17" t="str">
        <f>IF(O63=""," ",VLOOKUP(O63,'[8]2012 личен състав ОТД'!$A:$AO,12,FALSE))</f>
        <v>ХОН</v>
      </c>
      <c r="R63" s="81" t="s">
        <v>255</v>
      </c>
      <c r="S63" s="81"/>
      <c r="T63" s="81">
        <f t="shared" ca="1" si="16"/>
        <v>2013</v>
      </c>
      <c r="U63" s="81"/>
    </row>
    <row r="64" spans="1:21" ht="15" hidden="1" x14ac:dyDescent="0.2">
      <c r="A64" s="8" t="s">
        <v>217</v>
      </c>
      <c r="B64" s="8">
        <v>30</v>
      </c>
      <c r="C64" s="4">
        <v>30</v>
      </c>
      <c r="D64" s="4">
        <v>15</v>
      </c>
      <c r="E64" s="4">
        <v>15</v>
      </c>
      <c r="F64" s="4">
        <f t="shared" si="26"/>
        <v>0</v>
      </c>
      <c r="G64" s="4">
        <f t="shared" si="27"/>
        <v>30</v>
      </c>
      <c r="H64" s="4">
        <f t="shared" si="25"/>
        <v>60</v>
      </c>
      <c r="I64" s="4">
        <v>2</v>
      </c>
      <c r="J64" s="4" t="s">
        <v>14</v>
      </c>
      <c r="K64" s="75">
        <f t="shared" si="4"/>
        <v>60</v>
      </c>
      <c r="L64" s="75">
        <f t="shared" si="5"/>
        <v>30</v>
      </c>
      <c r="M64" s="75">
        <f t="shared" si="6"/>
        <v>30</v>
      </c>
      <c r="N64" s="17" t="e">
        <f>IF(O64=""," ",VLOOKUP(O64,'[8]2012 личен състав ОТД'!$A:$AO,2,FALSE))</f>
        <v>#N/A</v>
      </c>
      <c r="O64" s="81" t="e">
        <f>IF(A64=""," ",VLOOKUP(A64,'Български и испански език'!A:O,15,FALSE))</f>
        <v>#N/A</v>
      </c>
      <c r="P64" s="17" t="e">
        <f>IF(O64=""," ",VLOOKUP(O64,'[8]2012 личен състав ОТД'!$A:$AO,13,FALSE))</f>
        <v>#N/A</v>
      </c>
      <c r="Q64" s="17" t="e">
        <f>IF(O64=""," ",VLOOKUP(O64,'[8]2012 личен състав ОТД'!$A:$AO,12,FALSE))</f>
        <v>#N/A</v>
      </c>
      <c r="R64" s="17" t="e">
        <f>IF(A64=""," ",VLOOKUP(A64,'Профилиращ лист'!A:B,2,FALSE))</f>
        <v>#N/A</v>
      </c>
      <c r="T64" s="17" t="e">
        <f t="shared" ca="1" si="16"/>
        <v>#N/A</v>
      </c>
    </row>
    <row r="65" spans="1:21" ht="15" hidden="1" x14ac:dyDescent="0.2">
      <c r="A65" s="8" t="s">
        <v>54</v>
      </c>
      <c r="B65" s="8">
        <v>30</v>
      </c>
      <c r="C65" s="4">
        <v>30</v>
      </c>
      <c r="D65" s="4">
        <v>30</v>
      </c>
      <c r="E65" s="4">
        <v>0</v>
      </c>
      <c r="F65" s="4">
        <f t="shared" si="26"/>
        <v>0</v>
      </c>
      <c r="G65" s="4">
        <f t="shared" si="27"/>
        <v>30</v>
      </c>
      <c r="H65" s="4">
        <f t="shared" si="25"/>
        <v>60</v>
      </c>
      <c r="I65" s="4">
        <v>2</v>
      </c>
      <c r="J65" s="4" t="s">
        <v>14</v>
      </c>
      <c r="K65" s="75">
        <f t="shared" si="4"/>
        <v>75</v>
      </c>
      <c r="L65" s="75">
        <f t="shared" si="5"/>
        <v>45</v>
      </c>
      <c r="M65" s="75">
        <f t="shared" si="6"/>
        <v>30</v>
      </c>
      <c r="N65" s="17" t="str">
        <f>IF(O65=""," ",VLOOKUP(O65,'[8]2012 личен състав ОТД'!$A:$AO,2,FALSE))</f>
        <v xml:space="preserve">   </v>
      </c>
      <c r="O65" s="81">
        <f>IF(A65=""," ",VLOOKUP(A65,'Български и испански език'!A:O,15,FALSE))</f>
        <v>0</v>
      </c>
      <c r="P65" s="17">
        <f>IF(O65=""," ",VLOOKUP(O65,'[8]2012 личен състав ОТД'!$A:$AO,13,FALSE))</f>
        <v>0</v>
      </c>
      <c r="Q65" s="17">
        <f>IF(O65=""," ",VLOOKUP(O65,'[8]2012 личен състав ОТД'!$A:$AO,12,FALSE))</f>
        <v>0</v>
      </c>
      <c r="R65" s="17" t="str">
        <f>IF(A65=""," ",VLOOKUP(A65,'Профилиращ лист'!A:B,2,FALSE))</f>
        <v>СПЕ</v>
      </c>
      <c r="T65" s="17">
        <f t="shared" ca="1" si="16"/>
        <v>2013</v>
      </c>
    </row>
    <row r="66" spans="1:21" ht="15" hidden="1" x14ac:dyDescent="0.2">
      <c r="A66" s="8" t="s">
        <v>55</v>
      </c>
      <c r="B66" s="8">
        <v>30</v>
      </c>
      <c r="C66" s="4">
        <v>30</v>
      </c>
      <c r="D66" s="4">
        <v>0</v>
      </c>
      <c r="E66" s="4">
        <v>0</v>
      </c>
      <c r="F66" s="4">
        <f t="shared" si="26"/>
        <v>30</v>
      </c>
      <c r="G66" s="4">
        <f t="shared" si="27"/>
        <v>30</v>
      </c>
      <c r="H66" s="4">
        <f t="shared" si="25"/>
        <v>60</v>
      </c>
      <c r="I66" s="4">
        <v>2</v>
      </c>
      <c r="J66" s="6" t="s">
        <v>18</v>
      </c>
      <c r="K66" s="75">
        <f t="shared" si="4"/>
        <v>30</v>
      </c>
      <c r="L66" s="75">
        <f t="shared" si="5"/>
        <v>0</v>
      </c>
      <c r="M66" s="75">
        <f t="shared" si="6"/>
        <v>30</v>
      </c>
      <c r="N66" s="17" t="str">
        <f>IF(O66=""," ",VLOOKUP(O66,'[8]2012 личен състав ОТД'!$A:$AO,2,FALSE))</f>
        <v xml:space="preserve">   </v>
      </c>
      <c r="O66" s="81">
        <f>IF(A66=""," ",VLOOKUP(A66,'Български и испански език'!A:O,15,FALSE))</f>
        <v>0</v>
      </c>
      <c r="P66" s="17">
        <f>IF(O66=""," ",VLOOKUP(O66,'[8]2012 личен състав ОТД'!$A:$AO,13,FALSE))</f>
        <v>0</v>
      </c>
      <c r="Q66" s="17">
        <f>IF(O66=""," ",VLOOKUP(O66,'[8]2012 личен състав ОТД'!$A:$AO,12,FALSE))</f>
        <v>0</v>
      </c>
      <c r="R66" s="17" t="str">
        <f>IF(A66=""," ",VLOOKUP(A66,'Профилиращ лист'!A:B,2,FALSE))</f>
        <v>ФД</v>
      </c>
      <c r="T66" s="17">
        <f t="shared" ca="1" si="16"/>
        <v>2013</v>
      </c>
    </row>
    <row r="67" spans="1:21" ht="15" hidden="1" x14ac:dyDescent="0.2">
      <c r="A67" s="8" t="s">
        <v>218</v>
      </c>
      <c r="B67" s="8">
        <v>15</v>
      </c>
      <c r="C67" s="4">
        <v>15</v>
      </c>
      <c r="D67" s="4">
        <v>0</v>
      </c>
      <c r="E67" s="4">
        <v>0</v>
      </c>
      <c r="F67" s="4">
        <f t="shared" si="26"/>
        <v>15</v>
      </c>
      <c r="G67" s="4">
        <f t="shared" si="27"/>
        <v>45</v>
      </c>
      <c r="H67" s="4">
        <f t="shared" si="25"/>
        <v>60</v>
      </c>
      <c r="I67" s="4">
        <v>2</v>
      </c>
      <c r="J67" s="4" t="s">
        <v>18</v>
      </c>
      <c r="K67" s="75">
        <f t="shared" si="4"/>
        <v>15</v>
      </c>
      <c r="L67" s="75">
        <f t="shared" si="5"/>
        <v>0</v>
      </c>
      <c r="M67" s="75">
        <f t="shared" si="6"/>
        <v>15</v>
      </c>
      <c r="N67" s="17" t="e">
        <f>IF(O67=""," ",VLOOKUP(O67,'[8]2012 личен състав ОТД'!$A:$AO,2,FALSE))</f>
        <v>#N/A</v>
      </c>
      <c r="O67" s="81" t="e">
        <f>IF(A67=""," ",VLOOKUP(A67,'Български и испански език'!A:O,15,FALSE))</f>
        <v>#N/A</v>
      </c>
      <c r="P67" s="17" t="e">
        <f>IF(O67=""," ",VLOOKUP(O67,'[8]2012 личен състав ОТД'!$A:$AO,13,FALSE))</f>
        <v>#N/A</v>
      </c>
      <c r="Q67" s="17" t="e">
        <f>IF(O67=""," ",VLOOKUP(O67,'[8]2012 личен състав ОТД'!$A:$AO,12,FALSE))</f>
        <v>#N/A</v>
      </c>
      <c r="R67" s="17" t="e">
        <f>IF(A67=""," ",VLOOKUP(A67,'Профилиращ лист'!A:B,2,FALSE))</f>
        <v>#N/A</v>
      </c>
      <c r="T67" s="17" t="e">
        <f t="shared" ref="T67:T95" ca="1" si="28">Години-P67</f>
        <v>#N/A</v>
      </c>
    </row>
    <row r="68" spans="1:21" ht="15" hidden="1" x14ac:dyDescent="0.2">
      <c r="A68" s="8" t="s">
        <v>57</v>
      </c>
      <c r="B68" s="8">
        <v>15</v>
      </c>
      <c r="C68" s="4">
        <v>30</v>
      </c>
      <c r="D68" s="4">
        <v>0</v>
      </c>
      <c r="E68" s="4">
        <v>0</v>
      </c>
      <c r="F68" s="4">
        <f t="shared" si="26"/>
        <v>30</v>
      </c>
      <c r="G68" s="4">
        <f t="shared" si="27"/>
        <v>30</v>
      </c>
      <c r="H68" s="4">
        <f t="shared" si="25"/>
        <v>60</v>
      </c>
      <c r="I68" s="4">
        <v>2</v>
      </c>
      <c r="J68" s="4" t="s">
        <v>18</v>
      </c>
      <c r="K68" s="75">
        <f t="shared" ref="K68:K100" si="29">SUMIF(A:A,A68,C:C)</f>
        <v>30</v>
      </c>
      <c r="L68" s="75">
        <f t="shared" ref="L68:L100" si="30">SUMIF(A:A,A68,D:D)</f>
        <v>0</v>
      </c>
      <c r="M68" s="75">
        <f t="shared" ref="M68:M100" si="31">SUMIF(A:A,A68,E:E)+SUMIF(A:A,A68,F:F)</f>
        <v>30</v>
      </c>
      <c r="N68" s="17" t="str">
        <f>IF(O68=""," ",VLOOKUP(O68,'[8]2012 личен състав ОТД'!$A:$AO,2,FALSE))</f>
        <v xml:space="preserve">   </v>
      </c>
      <c r="O68" s="81">
        <f>IF(A68=""," ",VLOOKUP(A68,'Български и испански език'!A:O,15,FALSE))</f>
        <v>0</v>
      </c>
      <c r="P68" s="17">
        <f>IF(O68=""," ",VLOOKUP(O68,'[8]2012 личен състав ОТД'!$A:$AO,13,FALSE))</f>
        <v>0</v>
      </c>
      <c r="Q68" s="17">
        <f>IF(O68=""," ",VLOOKUP(O68,'[8]2012 личен състав ОТД'!$A:$AO,12,FALSE))</f>
        <v>0</v>
      </c>
      <c r="R68" s="17" t="str">
        <f>IF(A68=""," ",VLOOKUP(A68,'Профилиращ лист'!A:B,2,FALSE))</f>
        <v>ПЕД</v>
      </c>
      <c r="T68" s="17">
        <f t="shared" ca="1" si="28"/>
        <v>2013</v>
      </c>
    </row>
    <row r="69" spans="1:21" ht="15" hidden="1" x14ac:dyDescent="0.2">
      <c r="A69" s="8"/>
      <c r="B69" s="18">
        <f t="shared" ref="B69:I69" si="32">SUM(B59:B68)</f>
        <v>330</v>
      </c>
      <c r="C69" s="18">
        <f t="shared" si="32"/>
        <v>390</v>
      </c>
      <c r="D69" s="18">
        <f t="shared" si="32"/>
        <v>135</v>
      </c>
      <c r="E69" s="18">
        <f t="shared" si="32"/>
        <v>75</v>
      </c>
      <c r="F69" s="18">
        <f t="shared" si="32"/>
        <v>180</v>
      </c>
      <c r="G69" s="18">
        <f t="shared" si="32"/>
        <v>510</v>
      </c>
      <c r="H69" s="18">
        <f t="shared" si="32"/>
        <v>900</v>
      </c>
      <c r="I69" s="18">
        <f t="shared" si="32"/>
        <v>30</v>
      </c>
      <c r="J69" s="6"/>
      <c r="K69" s="75">
        <f t="shared" si="29"/>
        <v>0</v>
      </c>
      <c r="L69" s="75">
        <f t="shared" si="30"/>
        <v>0</v>
      </c>
      <c r="M69" s="75">
        <f t="shared" si="31"/>
        <v>0</v>
      </c>
      <c r="N69" s="17" t="e">
        <f>IF(O69=""," ",VLOOKUP(O69,'[8]2012 личен състав ОТД'!$A:$AO,2,FALSE))</f>
        <v>#N/A</v>
      </c>
      <c r="O69" s="81" t="str">
        <f>IF(A69=""," ",VLOOKUP(A69,'Български и испански език'!A:O,15,FALSE))</f>
        <v xml:space="preserve"> </v>
      </c>
      <c r="P69" s="17" t="e">
        <f>IF(O69=""," ",VLOOKUP(O69,'[8]2012 личен състав ОТД'!$A:$AO,13,FALSE))</f>
        <v>#N/A</v>
      </c>
      <c r="Q69" s="17" t="e">
        <f>IF(O69=""," ",VLOOKUP(O69,'[8]2012 личен състав ОТД'!$A:$AO,12,FALSE))</f>
        <v>#N/A</v>
      </c>
      <c r="R69" s="17" t="str">
        <f>IF(A69=""," ",VLOOKUP(A69,'Профилиращ лист'!A:B,2,FALSE))</f>
        <v xml:space="preserve"> </v>
      </c>
      <c r="T69" s="17" t="e">
        <f t="shared" ca="1" si="28"/>
        <v>#N/A</v>
      </c>
    </row>
    <row r="70" spans="1:21" ht="15" hidden="1" x14ac:dyDescent="0.2">
      <c r="A70" s="1" t="s">
        <v>59</v>
      </c>
      <c r="B70" s="1"/>
      <c r="C70" s="4"/>
      <c r="D70" s="4"/>
      <c r="E70" s="4"/>
      <c r="F70" s="4"/>
      <c r="G70" s="4"/>
      <c r="H70" s="4"/>
      <c r="I70" s="5"/>
      <c r="J70" s="6"/>
      <c r="K70" s="75">
        <f t="shared" si="29"/>
        <v>0</v>
      </c>
      <c r="L70" s="75">
        <f t="shared" si="30"/>
        <v>0</v>
      </c>
      <c r="M70" s="75">
        <f t="shared" si="31"/>
        <v>0</v>
      </c>
      <c r="N70" s="17" t="str">
        <f>IF(O70=""," ",VLOOKUP(O70,'[8]2012 личен състав ОТД'!$A:$AO,2,FALSE))</f>
        <v xml:space="preserve">   </v>
      </c>
      <c r="O70" s="81">
        <f>IF(A70=""," ",VLOOKUP(A70,'Български и испански език'!A:O,15,FALSE))</f>
        <v>0</v>
      </c>
      <c r="P70" s="17">
        <f>IF(O70=""," ",VLOOKUP(O70,'[8]2012 личен състав ОТД'!$A:$AO,13,FALSE))</f>
        <v>0</v>
      </c>
      <c r="Q70" s="17">
        <f>IF(O70=""," ",VLOOKUP(O70,'[8]2012 личен състав ОТД'!$A:$AO,12,FALSE))</f>
        <v>0</v>
      </c>
      <c r="R70" s="17" t="e">
        <f>IF(A70=""," ",VLOOKUP(A70,'Профилиращ лист'!A:B,2,FALSE))</f>
        <v>#N/A</v>
      </c>
      <c r="T70" s="17">
        <f t="shared" ca="1" si="28"/>
        <v>2013</v>
      </c>
    </row>
    <row r="71" spans="1:21" ht="15" x14ac:dyDescent="0.2">
      <c r="A71" s="8" t="s">
        <v>196</v>
      </c>
      <c r="B71" s="8">
        <v>15</v>
      </c>
      <c r="C71" s="4">
        <v>15</v>
      </c>
      <c r="D71" s="4">
        <v>15</v>
      </c>
      <c r="E71" s="4">
        <v>0</v>
      </c>
      <c r="F71" s="4">
        <f>C71-D71-E71</f>
        <v>0</v>
      </c>
      <c r="G71" s="4">
        <f>H71-C71</f>
        <v>75</v>
      </c>
      <c r="H71" s="4">
        <f t="shared" ref="H71:H81" si="33">I71*30</f>
        <v>90</v>
      </c>
      <c r="I71" s="4">
        <v>3</v>
      </c>
      <c r="J71" s="4" t="s">
        <v>12</v>
      </c>
      <c r="K71" s="75">
        <f t="shared" si="29"/>
        <v>15</v>
      </c>
      <c r="L71" s="75">
        <f t="shared" si="30"/>
        <v>15</v>
      </c>
      <c r="M71" s="75">
        <f t="shared" si="31"/>
        <v>0</v>
      </c>
      <c r="N71" s="17" t="str">
        <f>IF(O71=""," ",VLOOKUP(O71,'[8]2012 личен състав ОТД'!$A:$AO,2,FALSE))</f>
        <v>доц. д-р Татяна Ичевска</v>
      </c>
      <c r="O71" s="81" t="s">
        <v>480</v>
      </c>
      <c r="P71" s="17">
        <f>IF(O71=""," ",VLOOKUP(O71,'[8]2012 личен състав ОТД'!$A:$AO,13,FALSE))</f>
        <v>1970</v>
      </c>
      <c r="Q71" s="17" t="str">
        <f>IF(O71=""," ",VLOOKUP(O71,'[8]2012 личен състав ОТД'!$A:$AO,12,FALSE))</f>
        <v>ОТД</v>
      </c>
      <c r="R71" s="17" t="str">
        <f>IF(A71=""," ",VLOOKUP(A71,'Профилиращ лист'!A:B,2,FALSE))</f>
        <v>ИЗБ</v>
      </c>
      <c r="T71" s="17">
        <f t="shared" ca="1" si="28"/>
        <v>43</v>
      </c>
    </row>
    <row r="72" spans="1:21" ht="15" x14ac:dyDescent="0.2">
      <c r="A72" s="8" t="s">
        <v>219</v>
      </c>
      <c r="B72" s="8">
        <v>30</v>
      </c>
      <c r="C72" s="4">
        <v>30</v>
      </c>
      <c r="D72" s="4">
        <v>15</v>
      </c>
      <c r="E72" s="4">
        <v>15</v>
      </c>
      <c r="F72" s="4">
        <f t="shared" ref="F72:F81" si="34">C72-D72-E72</f>
        <v>0</v>
      </c>
      <c r="G72" s="4">
        <f t="shared" ref="G72:G81" si="35">H72-C72</f>
        <v>30</v>
      </c>
      <c r="H72" s="4">
        <f t="shared" si="33"/>
        <v>60</v>
      </c>
      <c r="I72" s="4">
        <v>2</v>
      </c>
      <c r="J72" s="6" t="s">
        <v>12</v>
      </c>
      <c r="K72" s="75">
        <f t="shared" si="29"/>
        <v>30</v>
      </c>
      <c r="L72" s="75">
        <f t="shared" si="30"/>
        <v>15</v>
      </c>
      <c r="M72" s="75">
        <f t="shared" si="31"/>
        <v>15</v>
      </c>
      <c r="N72" s="17" t="str">
        <f>IF(O72=""," ",VLOOKUP(O72,'[8]2012 личен състав ОТД'!$A:$AO,2,FALSE))</f>
        <v>ас.  Веселин  Карастойчев</v>
      </c>
      <c r="O72" s="81" t="s">
        <v>522</v>
      </c>
      <c r="P72" s="17">
        <f>IF(O72=""," ",VLOOKUP(O72,'[8]2012 личен състав ОТД'!$A:$AO,13,FALSE))</f>
        <v>0</v>
      </c>
      <c r="Q72" s="17" t="str">
        <f>IF(O72=""," ",VLOOKUP(O72,'[8]2012 личен състав ОТД'!$A:$AO,12,FALSE))</f>
        <v>ХОН</v>
      </c>
      <c r="R72" s="81" t="s">
        <v>255</v>
      </c>
      <c r="S72" s="81"/>
      <c r="T72" s="81">
        <f t="shared" ca="1" si="28"/>
        <v>2013</v>
      </c>
      <c r="U72" s="81"/>
    </row>
    <row r="73" spans="1:21" ht="15" hidden="1" x14ac:dyDescent="0.2">
      <c r="A73" s="8" t="s">
        <v>62</v>
      </c>
      <c r="B73" s="8">
        <v>45</v>
      </c>
      <c r="C73" s="4">
        <v>45</v>
      </c>
      <c r="D73" s="4">
        <v>45</v>
      </c>
      <c r="E73" s="4">
        <v>0</v>
      </c>
      <c r="F73" s="4">
        <f t="shared" si="34"/>
        <v>0</v>
      </c>
      <c r="G73" s="4">
        <f t="shared" si="35"/>
        <v>45</v>
      </c>
      <c r="H73" s="4">
        <f t="shared" si="33"/>
        <v>90</v>
      </c>
      <c r="I73" s="4">
        <v>3</v>
      </c>
      <c r="J73" s="4" t="s">
        <v>14</v>
      </c>
      <c r="K73" s="75">
        <f t="shared" si="29"/>
        <v>90</v>
      </c>
      <c r="L73" s="75">
        <f t="shared" si="30"/>
        <v>75</v>
      </c>
      <c r="M73" s="75">
        <f t="shared" si="31"/>
        <v>15</v>
      </c>
      <c r="N73" s="17" t="str">
        <f>IF(O73=""," ",VLOOKUP(O73,'[8]2012 личен състав ОТД'!$A:$AO,2,FALSE))</f>
        <v xml:space="preserve">   </v>
      </c>
      <c r="O73" s="81">
        <f>IF(A73=""," ",VLOOKUP(A73,'Български и испански език'!A:O,15,FALSE))</f>
        <v>0</v>
      </c>
      <c r="P73" s="17">
        <f>IF(O73=""," ",VLOOKUP(O73,'[8]2012 личен състав ОТД'!$A:$AO,13,FALSE))</f>
        <v>0</v>
      </c>
      <c r="Q73" s="17">
        <f>IF(O73=""," ",VLOOKUP(O73,'[8]2012 личен състав ОТД'!$A:$AO,12,FALSE))</f>
        <v>0</v>
      </c>
      <c r="R73" s="17" t="str">
        <f>IF(A73=""," ",VLOOKUP(A73,'Профилиращ лист'!A:B,2,FALSE))</f>
        <v>СПЕ</v>
      </c>
      <c r="T73" s="17">
        <f t="shared" ca="1" si="28"/>
        <v>2013</v>
      </c>
    </row>
    <row r="74" spans="1:21" ht="15" x14ac:dyDescent="0.2">
      <c r="A74" s="8" t="s">
        <v>220</v>
      </c>
      <c r="B74" s="8">
        <v>30</v>
      </c>
      <c r="C74" s="4">
        <v>30</v>
      </c>
      <c r="D74" s="4">
        <v>30</v>
      </c>
      <c r="E74" s="4">
        <v>0</v>
      </c>
      <c r="F74" s="4">
        <f t="shared" si="34"/>
        <v>0</v>
      </c>
      <c r="G74" s="4">
        <f t="shared" si="35"/>
        <v>60</v>
      </c>
      <c r="H74" s="4">
        <f t="shared" si="33"/>
        <v>90</v>
      </c>
      <c r="I74" s="4">
        <v>3</v>
      </c>
      <c r="J74" s="6" t="s">
        <v>12</v>
      </c>
      <c r="K74" s="75">
        <f t="shared" si="29"/>
        <v>30</v>
      </c>
      <c r="L74" s="75">
        <f t="shared" si="30"/>
        <v>30</v>
      </c>
      <c r="M74" s="75">
        <f t="shared" si="31"/>
        <v>0</v>
      </c>
      <c r="N74" s="17" t="str">
        <f>IF(O74=""," ",VLOOKUP(O74,'[8]2012 личен състав ОТД'!$A:$AO,2,FALSE))</f>
        <v>ас.  Стефан  Иванчев</v>
      </c>
      <c r="O74" s="81" t="s">
        <v>521</v>
      </c>
      <c r="P74" s="17">
        <f>IF(O74=""," ",VLOOKUP(O74,'[8]2012 личен състав ОТД'!$A:$AO,13,FALSE))</f>
        <v>0</v>
      </c>
      <c r="Q74" s="17" t="str">
        <f>IF(O74=""," ",VLOOKUP(O74,'[8]2012 личен състав ОТД'!$A:$AO,12,FALSE))</f>
        <v>ХОН</v>
      </c>
      <c r="R74" s="81" t="s">
        <v>253</v>
      </c>
      <c r="S74" s="81"/>
      <c r="T74" s="81">
        <f t="shared" ca="1" si="28"/>
        <v>2013</v>
      </c>
      <c r="U74" s="81"/>
    </row>
    <row r="75" spans="1:21" ht="15" x14ac:dyDescent="0.2">
      <c r="A75" s="8" t="s">
        <v>64</v>
      </c>
      <c r="B75" s="8">
        <v>15</v>
      </c>
      <c r="C75" s="4">
        <v>15</v>
      </c>
      <c r="D75" s="4">
        <v>15</v>
      </c>
      <c r="E75" s="4">
        <v>0</v>
      </c>
      <c r="F75" s="4">
        <f t="shared" si="34"/>
        <v>0</v>
      </c>
      <c r="G75" s="4">
        <f t="shared" si="35"/>
        <v>75</v>
      </c>
      <c r="H75" s="4">
        <f t="shared" si="33"/>
        <v>90</v>
      </c>
      <c r="I75" s="4">
        <v>3</v>
      </c>
      <c r="J75" s="6" t="s">
        <v>12</v>
      </c>
      <c r="K75" s="75">
        <f t="shared" si="29"/>
        <v>15</v>
      </c>
      <c r="L75" s="75">
        <f t="shared" si="30"/>
        <v>15</v>
      </c>
      <c r="M75" s="75">
        <f t="shared" si="31"/>
        <v>0</v>
      </c>
      <c r="N75" s="17" t="str">
        <f>IF(O75=""," ",VLOOKUP(O75,'[8]2012 личен състав ОТД'!$A:$AO,2,FALSE))</f>
        <v>доц. д-р Соня Спилкова</v>
      </c>
      <c r="O75" s="81" t="s">
        <v>477</v>
      </c>
      <c r="P75" s="17">
        <f>IF(O75=""," ",VLOOKUP(O75,'[8]2012 личен състав ОТД'!$A:$AO,13,FALSE))</f>
        <v>1952</v>
      </c>
      <c r="Q75" s="17" t="str">
        <f>IF(O75=""," ",VLOOKUP(O75,'[8]2012 личен състав ОТД'!$A:$AO,12,FALSE))</f>
        <v>ОТД</v>
      </c>
      <c r="R75" s="17" t="str">
        <f>IF(A75=""," ",VLOOKUP(A75,'Профилиращ лист'!A:B,2,FALSE))</f>
        <v>ПЕД</v>
      </c>
      <c r="T75" s="17">
        <f t="shared" ca="1" si="28"/>
        <v>61</v>
      </c>
    </row>
    <row r="76" spans="1:21" ht="15" x14ac:dyDescent="0.2">
      <c r="A76" s="8" t="s">
        <v>65</v>
      </c>
      <c r="B76" s="8">
        <v>15</v>
      </c>
      <c r="C76" s="4">
        <v>15</v>
      </c>
      <c r="D76" s="4">
        <v>15</v>
      </c>
      <c r="E76" s="4">
        <v>0</v>
      </c>
      <c r="F76" s="4">
        <f t="shared" si="34"/>
        <v>0</v>
      </c>
      <c r="G76" s="4">
        <f t="shared" si="35"/>
        <v>75</v>
      </c>
      <c r="H76" s="4">
        <f t="shared" si="33"/>
        <v>90</v>
      </c>
      <c r="I76" s="4">
        <v>3</v>
      </c>
      <c r="J76" s="6" t="s">
        <v>12</v>
      </c>
      <c r="K76" s="75">
        <f t="shared" si="29"/>
        <v>15</v>
      </c>
      <c r="L76" s="75">
        <f t="shared" si="30"/>
        <v>15</v>
      </c>
      <c r="M76" s="75">
        <f t="shared" si="31"/>
        <v>0</v>
      </c>
      <c r="N76" s="17" t="str">
        <f>IF(O76=""," ",VLOOKUP(O76,'[8]2012 личен състав ОТД'!$A:$AO,2,FALSE))</f>
        <v>доц. д-р Пенка Гарушева-Карамалакова</v>
      </c>
      <c r="O76" s="81" t="str">
        <f>IF(A76=""," ",VLOOKUP(A76,'Български и испански език'!A:O,15,FALSE))</f>
        <v>гарушева</v>
      </c>
      <c r="P76" s="17">
        <f>IF(O76=""," ",VLOOKUP(O76,'[8]2012 личен състав ОТД'!$A:$AO,13,FALSE))</f>
        <v>1947</v>
      </c>
      <c r="Q76" s="17" t="str">
        <f>IF(O76=""," ",VLOOKUP(O76,'[8]2012 личен състав ОТД'!$A:$AO,12,FALSE))</f>
        <v>ОТД</v>
      </c>
      <c r="R76" s="17" t="str">
        <f>IF(A76=""," ",VLOOKUP(A76,'Профилиращ лист'!A:B,2,FALSE))</f>
        <v>ПЕД</v>
      </c>
      <c r="T76" s="17">
        <f t="shared" ca="1" si="28"/>
        <v>66</v>
      </c>
    </row>
    <row r="77" spans="1:21" ht="15" hidden="1" x14ac:dyDescent="0.2">
      <c r="A77" s="8" t="s">
        <v>206</v>
      </c>
      <c r="B77" s="8">
        <v>90</v>
      </c>
      <c r="C77" s="4">
        <v>75</v>
      </c>
      <c r="D77" s="4">
        <v>0</v>
      </c>
      <c r="E77" s="4">
        <v>0</v>
      </c>
      <c r="F77" s="4">
        <f t="shared" si="34"/>
        <v>75</v>
      </c>
      <c r="G77" s="4">
        <f t="shared" si="35"/>
        <v>75</v>
      </c>
      <c r="H77" s="4">
        <f t="shared" si="33"/>
        <v>150</v>
      </c>
      <c r="I77" s="4">
        <v>5</v>
      </c>
      <c r="J77" s="4" t="s">
        <v>14</v>
      </c>
      <c r="K77" s="75">
        <f t="shared" si="29"/>
        <v>630</v>
      </c>
      <c r="L77" s="75">
        <f t="shared" si="30"/>
        <v>0</v>
      </c>
      <c r="M77" s="75">
        <f t="shared" si="31"/>
        <v>630</v>
      </c>
      <c r="N77" s="17" t="e">
        <f>IF(O77=""," ",VLOOKUP(O77,'[8]2012 личен състав ОТД'!$A:$AO,2,FALSE))</f>
        <v>#N/A</v>
      </c>
      <c r="O77" s="81" t="e">
        <f>IF(A77=""," ",VLOOKUP(A77,'Български и испански език'!A:O,15,FALSE))</f>
        <v>#N/A</v>
      </c>
      <c r="P77" s="17" t="e">
        <f>IF(O77=""," ",VLOOKUP(O77,'[8]2012 личен състав ОТД'!$A:$AO,13,FALSE))</f>
        <v>#N/A</v>
      </c>
      <c r="Q77" s="17" t="e">
        <f>IF(O77=""," ",VLOOKUP(O77,'[8]2012 личен състав ОТД'!$A:$AO,12,FALSE))</f>
        <v>#N/A</v>
      </c>
      <c r="R77" s="17" t="e">
        <f>IF(A77=""," ",VLOOKUP(A77,'Профилиращ лист'!A:B,2,FALSE))</f>
        <v>#N/A</v>
      </c>
      <c r="T77" s="17" t="e">
        <f t="shared" ca="1" si="28"/>
        <v>#N/A</v>
      </c>
    </row>
    <row r="78" spans="1:21" ht="15" x14ac:dyDescent="0.2">
      <c r="A78" s="8" t="s">
        <v>217</v>
      </c>
      <c r="B78" s="8">
        <v>30</v>
      </c>
      <c r="C78" s="4">
        <v>30</v>
      </c>
      <c r="D78" s="4">
        <v>15</v>
      </c>
      <c r="E78" s="4">
        <v>15</v>
      </c>
      <c r="F78" s="4">
        <f t="shared" si="34"/>
        <v>0</v>
      </c>
      <c r="G78" s="4">
        <f t="shared" si="35"/>
        <v>30</v>
      </c>
      <c r="H78" s="4">
        <f t="shared" si="33"/>
        <v>60</v>
      </c>
      <c r="I78" s="4">
        <v>2</v>
      </c>
      <c r="J78" s="6" t="s">
        <v>12</v>
      </c>
      <c r="K78" s="75">
        <f t="shared" si="29"/>
        <v>60</v>
      </c>
      <c r="L78" s="75">
        <f t="shared" si="30"/>
        <v>30</v>
      </c>
      <c r="M78" s="75">
        <f t="shared" si="31"/>
        <v>30</v>
      </c>
      <c r="N78" s="17" t="str">
        <f>IF(O78=""," ",VLOOKUP(O78,'[8]2012 личен състав ОТД'!$A:$AO,2,FALSE))</f>
        <v>ас.  Стефан  Иванчев</v>
      </c>
      <c r="O78" s="81" t="s">
        <v>521</v>
      </c>
      <c r="P78" s="17">
        <f>IF(O78=""," ",VLOOKUP(O78,'[8]2012 личен състав ОТД'!$A:$AO,13,FALSE))</f>
        <v>0</v>
      </c>
      <c r="Q78" s="17" t="str">
        <f>IF(O78=""," ",VLOOKUP(O78,'[8]2012 личен състав ОТД'!$A:$AO,12,FALSE))</f>
        <v>ХОН</v>
      </c>
      <c r="R78" s="81" t="s">
        <v>255</v>
      </c>
      <c r="S78" s="81"/>
      <c r="T78" s="81">
        <f t="shared" ca="1" si="28"/>
        <v>2013</v>
      </c>
      <c r="U78" s="81"/>
    </row>
    <row r="79" spans="1:21" ht="15" x14ac:dyDescent="0.2">
      <c r="A79" s="8" t="s">
        <v>54</v>
      </c>
      <c r="B79" s="8">
        <v>30</v>
      </c>
      <c r="C79" s="4">
        <v>45</v>
      </c>
      <c r="D79" s="4">
        <v>15</v>
      </c>
      <c r="E79" s="4">
        <v>30</v>
      </c>
      <c r="F79" s="4">
        <f t="shared" si="34"/>
        <v>0</v>
      </c>
      <c r="G79" s="4">
        <f t="shared" si="35"/>
        <v>15</v>
      </c>
      <c r="H79" s="4">
        <f t="shared" si="33"/>
        <v>60</v>
      </c>
      <c r="I79" s="4">
        <v>2</v>
      </c>
      <c r="J79" s="6" t="s">
        <v>12</v>
      </c>
      <c r="K79" s="75">
        <f t="shared" si="29"/>
        <v>75</v>
      </c>
      <c r="L79" s="75">
        <f t="shared" si="30"/>
        <v>45</v>
      </c>
      <c r="M79" s="75">
        <f t="shared" si="31"/>
        <v>30</v>
      </c>
      <c r="N79" s="17" t="str">
        <f>IF(O79=""," ",VLOOKUP(O79,'[8]2012 личен състав ОТД'!$A:$AO,2,FALSE))</f>
        <v>доц. д-р Петя Бъркалова</v>
      </c>
      <c r="O79" s="81" t="s">
        <v>479</v>
      </c>
      <c r="P79" s="17">
        <f>IF(O79=""," ",VLOOKUP(O79,'[8]2012 личен състав ОТД'!$A:$AO,13,FALSE))</f>
        <v>1956</v>
      </c>
      <c r="Q79" s="17" t="str">
        <f>IF(O79=""," ",VLOOKUP(O79,'[8]2012 личен състав ОТД'!$A:$AO,12,FALSE))</f>
        <v>ОТД</v>
      </c>
      <c r="R79" s="17" t="str">
        <f>IF(A79=""," ",VLOOKUP(A79,'Профилиращ лист'!A:B,2,FALSE))</f>
        <v>СПЕ</v>
      </c>
      <c r="T79" s="17">
        <f t="shared" ca="1" si="28"/>
        <v>57</v>
      </c>
    </row>
    <row r="80" spans="1:21" ht="15" hidden="1" x14ac:dyDescent="0.2">
      <c r="A80" s="8" t="s">
        <v>66</v>
      </c>
      <c r="B80" s="8">
        <v>30</v>
      </c>
      <c r="C80" s="4">
        <v>30</v>
      </c>
      <c r="D80" s="4">
        <v>0</v>
      </c>
      <c r="E80" s="4">
        <v>0</v>
      </c>
      <c r="F80" s="4">
        <f t="shared" si="34"/>
        <v>30</v>
      </c>
      <c r="G80" s="4">
        <f t="shared" si="35"/>
        <v>30</v>
      </c>
      <c r="H80" s="4">
        <f t="shared" si="33"/>
        <v>60</v>
      </c>
      <c r="I80" s="4">
        <v>2</v>
      </c>
      <c r="J80" s="4" t="s">
        <v>18</v>
      </c>
      <c r="K80" s="75">
        <f t="shared" si="29"/>
        <v>30</v>
      </c>
      <c r="L80" s="75">
        <f t="shared" si="30"/>
        <v>0</v>
      </c>
      <c r="M80" s="75">
        <f t="shared" si="31"/>
        <v>30</v>
      </c>
      <c r="N80" s="17" t="str">
        <f>IF(O80=""," ",VLOOKUP(O80,'[8]2012 личен състав ОТД'!$A:$AO,2,FALSE))</f>
        <v xml:space="preserve">   </v>
      </c>
      <c r="O80" s="81">
        <f>IF(A80=""," ",VLOOKUP(A80,'Български и испански език'!A:O,15,FALSE))</f>
        <v>0</v>
      </c>
      <c r="P80" s="17">
        <f>IF(O80=""," ",VLOOKUP(O80,'[8]2012 личен състав ОТД'!$A:$AO,13,FALSE))</f>
        <v>0</v>
      </c>
      <c r="Q80" s="17">
        <f>IF(O80=""," ",VLOOKUP(O80,'[8]2012 личен състав ОТД'!$A:$AO,12,FALSE))</f>
        <v>0</v>
      </c>
      <c r="R80" s="17" t="str">
        <f>IF(A80=""," ",VLOOKUP(A80,'Профилиращ лист'!A:B,2,FALSE))</f>
        <v>ПЕД</v>
      </c>
      <c r="T80" s="17">
        <f t="shared" ca="1" si="28"/>
        <v>2013</v>
      </c>
    </row>
    <row r="81" spans="1:21" ht="15" hidden="1" x14ac:dyDescent="0.2">
      <c r="A81" s="8" t="s">
        <v>221</v>
      </c>
      <c r="B81" s="8">
        <v>15</v>
      </c>
      <c r="C81" s="4">
        <v>15</v>
      </c>
      <c r="D81" s="4">
        <v>0</v>
      </c>
      <c r="E81" s="4">
        <v>0</v>
      </c>
      <c r="F81" s="4">
        <f t="shared" si="34"/>
        <v>15</v>
      </c>
      <c r="G81" s="4">
        <f t="shared" si="35"/>
        <v>45</v>
      </c>
      <c r="H81" s="4">
        <f t="shared" si="33"/>
        <v>60</v>
      </c>
      <c r="I81" s="4">
        <v>2</v>
      </c>
      <c r="J81" s="4" t="s">
        <v>18</v>
      </c>
      <c r="K81" s="75">
        <f t="shared" si="29"/>
        <v>15</v>
      </c>
      <c r="L81" s="75">
        <f t="shared" si="30"/>
        <v>0</v>
      </c>
      <c r="M81" s="75">
        <f t="shared" si="31"/>
        <v>15</v>
      </c>
      <c r="N81" s="17" t="e">
        <f>IF(O81=""," ",VLOOKUP(O81,'[8]2012 личен състав ОТД'!$A:$AO,2,FALSE))</f>
        <v>#N/A</v>
      </c>
      <c r="O81" s="81" t="e">
        <f>IF(A81=""," ",VLOOKUP(A81,'Български и испански език'!A:O,15,FALSE))</f>
        <v>#N/A</v>
      </c>
      <c r="P81" s="17" t="e">
        <f>IF(O81=""," ",VLOOKUP(O81,'[8]2012 личен състав ОТД'!$A:$AO,13,FALSE))</f>
        <v>#N/A</v>
      </c>
      <c r="Q81" s="17" t="e">
        <f>IF(O81=""," ",VLOOKUP(O81,'[8]2012 личен състав ОТД'!$A:$AO,12,FALSE))</f>
        <v>#N/A</v>
      </c>
      <c r="R81" s="17" t="e">
        <f>IF(A81=""," ",VLOOKUP(A81,'Профилиращ лист'!A:B,2,FALSE))</f>
        <v>#N/A</v>
      </c>
      <c r="T81" s="17" t="e">
        <f t="shared" ca="1" si="28"/>
        <v>#N/A</v>
      </c>
    </row>
    <row r="82" spans="1:21" ht="15" hidden="1" x14ac:dyDescent="0.2">
      <c r="A82" s="8"/>
      <c r="B82" s="18">
        <f t="shared" ref="B82:I82" si="36">SUM(B71:B81)</f>
        <v>345</v>
      </c>
      <c r="C82" s="18">
        <f t="shared" si="36"/>
        <v>345</v>
      </c>
      <c r="D82" s="18">
        <f t="shared" si="36"/>
        <v>165</v>
      </c>
      <c r="E82" s="18">
        <f t="shared" si="36"/>
        <v>60</v>
      </c>
      <c r="F82" s="18">
        <f t="shared" si="36"/>
        <v>120</v>
      </c>
      <c r="G82" s="18">
        <f t="shared" si="36"/>
        <v>555</v>
      </c>
      <c r="H82" s="18">
        <f t="shared" si="36"/>
        <v>900</v>
      </c>
      <c r="I82" s="18">
        <f t="shared" si="36"/>
        <v>30</v>
      </c>
      <c r="J82" s="6"/>
      <c r="K82" s="75">
        <f t="shared" si="29"/>
        <v>0</v>
      </c>
      <c r="L82" s="75">
        <f t="shared" si="30"/>
        <v>0</v>
      </c>
      <c r="M82" s="75">
        <f t="shared" si="31"/>
        <v>0</v>
      </c>
      <c r="N82" s="17" t="e">
        <f>IF(O82=""," ",VLOOKUP(O82,'[8]2012 личен състав ОТД'!$A:$AO,2,FALSE))</f>
        <v>#N/A</v>
      </c>
      <c r="O82" s="81" t="str">
        <f>IF(A82=""," ",VLOOKUP(A82,'Български и испански език'!A:O,15,FALSE))</f>
        <v xml:space="preserve"> </v>
      </c>
      <c r="P82" s="17" t="e">
        <f>IF(O82=""," ",VLOOKUP(O82,'[8]2012 личен състав ОТД'!$A:$AO,13,FALSE))</f>
        <v>#N/A</v>
      </c>
      <c r="Q82" s="17" t="e">
        <f>IF(O82=""," ",VLOOKUP(O82,'[8]2012 личен състав ОТД'!$A:$AO,12,FALSE))</f>
        <v>#N/A</v>
      </c>
      <c r="R82" s="17" t="str">
        <f>IF(A82=""," ",VLOOKUP(A82,'Профилиращ лист'!A:B,2,FALSE))</f>
        <v xml:space="preserve"> </v>
      </c>
      <c r="T82" s="17" t="e">
        <f t="shared" ca="1" si="28"/>
        <v>#N/A</v>
      </c>
    </row>
    <row r="83" spans="1:21" ht="15" hidden="1" x14ac:dyDescent="0.25">
      <c r="A83" s="1" t="s">
        <v>68</v>
      </c>
      <c r="B83" s="1"/>
      <c r="C83" s="4"/>
      <c r="D83" s="4"/>
      <c r="E83" s="4"/>
      <c r="F83" s="4"/>
      <c r="G83" s="4"/>
      <c r="H83" s="4"/>
      <c r="I83" s="5"/>
      <c r="J83" s="10"/>
      <c r="K83" s="75">
        <f t="shared" si="29"/>
        <v>0</v>
      </c>
      <c r="L83" s="75">
        <f t="shared" si="30"/>
        <v>0</v>
      </c>
      <c r="M83" s="75">
        <f t="shared" si="31"/>
        <v>0</v>
      </c>
      <c r="N83" s="17" t="str">
        <f>IF(O83=""," ",VLOOKUP(O83,'[8]2012 личен състав ОТД'!$A:$AO,2,FALSE))</f>
        <v xml:space="preserve">   </v>
      </c>
      <c r="O83" s="81">
        <f>IF(A83=""," ",VLOOKUP(A83,'Български и испански език'!A:O,15,FALSE))</f>
        <v>0</v>
      </c>
      <c r="P83" s="17">
        <f>IF(O83=""," ",VLOOKUP(O83,'[8]2012 личен състав ОТД'!$A:$AO,13,FALSE))</f>
        <v>0</v>
      </c>
      <c r="Q83" s="17">
        <f>IF(O83=""," ",VLOOKUP(O83,'[8]2012 личен състав ОТД'!$A:$AO,12,FALSE))</f>
        <v>0</v>
      </c>
      <c r="R83" s="17" t="e">
        <f>IF(A83=""," ",VLOOKUP(A83,'Профилиращ лист'!A:B,2,FALSE))</f>
        <v>#N/A</v>
      </c>
      <c r="T83" s="17">
        <f t="shared" ca="1" si="28"/>
        <v>2013</v>
      </c>
    </row>
    <row r="84" spans="1:21" ht="15" x14ac:dyDescent="0.2">
      <c r="A84" s="8" t="s">
        <v>222</v>
      </c>
      <c r="B84" s="8">
        <v>30</v>
      </c>
      <c r="C84" s="19">
        <v>15</v>
      </c>
      <c r="D84" s="19">
        <v>15</v>
      </c>
      <c r="E84" s="19">
        <v>0</v>
      </c>
      <c r="F84" s="4">
        <f>C84-D84-E84</f>
        <v>0</v>
      </c>
      <c r="G84" s="4">
        <f>H84-C84</f>
        <v>75</v>
      </c>
      <c r="H84" s="4">
        <f t="shared" ref="H84:H92" si="37">I84*30</f>
        <v>90</v>
      </c>
      <c r="I84" s="19">
        <v>3</v>
      </c>
      <c r="J84" s="6" t="s">
        <v>12</v>
      </c>
      <c r="K84" s="75">
        <f t="shared" si="29"/>
        <v>15</v>
      </c>
      <c r="L84" s="75">
        <f t="shared" si="30"/>
        <v>15</v>
      </c>
      <c r="M84" s="75">
        <f t="shared" si="31"/>
        <v>0</v>
      </c>
      <c r="N84" s="17" t="str">
        <f>IF(O84=""," ",VLOOKUP(O84,'[8]2012 личен състав ОТД'!$A:$AO,2,FALSE))</f>
        <v>ас.  Стефан  Иванчев</v>
      </c>
      <c r="O84" s="81" t="s">
        <v>521</v>
      </c>
      <c r="P84" s="17">
        <f>IF(O84=""," ",VLOOKUP(O84,'[8]2012 личен състав ОТД'!$A:$AO,13,FALSE))</f>
        <v>0</v>
      </c>
      <c r="Q84" s="17" t="str">
        <f>IF(O84=""," ",VLOOKUP(O84,'[8]2012 личен състав ОТД'!$A:$AO,12,FALSE))</f>
        <v>ХОН</v>
      </c>
      <c r="R84" s="81" t="s">
        <v>255</v>
      </c>
      <c r="S84" s="81"/>
      <c r="T84" s="81">
        <f t="shared" ca="1" si="28"/>
        <v>2013</v>
      </c>
      <c r="U84" s="81"/>
    </row>
    <row r="85" spans="1:21" ht="15" x14ac:dyDescent="0.2">
      <c r="A85" s="8" t="s">
        <v>223</v>
      </c>
      <c r="B85" s="8">
        <v>30</v>
      </c>
      <c r="C85" s="4">
        <v>30</v>
      </c>
      <c r="D85" s="4">
        <v>15</v>
      </c>
      <c r="E85" s="4">
        <v>15</v>
      </c>
      <c r="F85" s="4">
        <f t="shared" ref="F85:F92" si="38">C85-D85-E85</f>
        <v>0</v>
      </c>
      <c r="G85" s="4">
        <f t="shared" ref="G85:G92" si="39">H85-C85</f>
        <v>60</v>
      </c>
      <c r="H85" s="4">
        <f t="shared" si="37"/>
        <v>90</v>
      </c>
      <c r="I85" s="4">
        <v>3</v>
      </c>
      <c r="J85" s="6" t="s">
        <v>12</v>
      </c>
      <c r="K85" s="75">
        <f t="shared" si="29"/>
        <v>30</v>
      </c>
      <c r="L85" s="75">
        <f t="shared" si="30"/>
        <v>15</v>
      </c>
      <c r="M85" s="75">
        <f t="shared" si="31"/>
        <v>15</v>
      </c>
      <c r="N85" s="17" t="str">
        <f>IF(O85=""," ",VLOOKUP(O85,'[8]2012 личен състав ОТД'!$A:$AO,2,FALSE))</f>
        <v>ас.  Веселин  Карастойчев</v>
      </c>
      <c r="O85" s="81" t="s">
        <v>522</v>
      </c>
      <c r="P85" s="17">
        <f>IF(O85=""," ",VLOOKUP(O85,'[8]2012 личен състав ОТД'!$A:$AO,13,FALSE))</f>
        <v>0</v>
      </c>
      <c r="Q85" s="17" t="str">
        <f>IF(O85=""," ",VLOOKUP(O85,'[8]2012 личен състав ОТД'!$A:$AO,12,FALSE))</f>
        <v>ХОН</v>
      </c>
      <c r="R85" s="81" t="s">
        <v>255</v>
      </c>
      <c r="S85" s="81"/>
      <c r="T85" s="81">
        <f t="shared" ca="1" si="28"/>
        <v>2013</v>
      </c>
      <c r="U85" s="81"/>
    </row>
    <row r="86" spans="1:21" ht="15" x14ac:dyDescent="0.2">
      <c r="A86" s="8" t="s">
        <v>62</v>
      </c>
      <c r="B86" s="8">
        <v>30</v>
      </c>
      <c r="C86" s="4">
        <v>45</v>
      </c>
      <c r="D86" s="4">
        <v>30</v>
      </c>
      <c r="E86" s="4">
        <v>15</v>
      </c>
      <c r="F86" s="4">
        <f t="shared" si="38"/>
        <v>0</v>
      </c>
      <c r="G86" s="4">
        <f t="shared" si="39"/>
        <v>45</v>
      </c>
      <c r="H86" s="4">
        <f t="shared" si="37"/>
        <v>90</v>
      </c>
      <c r="I86" s="4">
        <v>3</v>
      </c>
      <c r="J86" s="6" t="s">
        <v>12</v>
      </c>
      <c r="K86" s="75">
        <f t="shared" si="29"/>
        <v>90</v>
      </c>
      <c r="L86" s="75">
        <f t="shared" si="30"/>
        <v>75</v>
      </c>
      <c r="M86" s="75">
        <f t="shared" si="31"/>
        <v>15</v>
      </c>
      <c r="N86" s="17" t="str">
        <f>IF(O86=""," ",VLOOKUP(O86,'[8]2012 личен състав ОТД'!$A:$AO,2,FALSE))</f>
        <v>проф. дфн Любка Липчева-Пранджева</v>
      </c>
      <c r="O86" s="81" t="s">
        <v>495</v>
      </c>
      <c r="P86" s="17">
        <f>IF(O86=""," ",VLOOKUP(O86,'[8]2012 личен състав ОТД'!$A:$AO,13,FALSE))</f>
        <v>1961</v>
      </c>
      <c r="Q86" s="17" t="str">
        <f>IF(O86=""," ",VLOOKUP(O86,'[8]2012 личен състав ОТД'!$A:$AO,12,FALSE))</f>
        <v>ОТД</v>
      </c>
      <c r="R86" s="17" t="str">
        <f>IF(A86=""," ",VLOOKUP(A86,'Профилиращ лист'!A:B,2,FALSE))</f>
        <v>СПЕ</v>
      </c>
      <c r="T86" s="17">
        <f t="shared" ca="1" si="28"/>
        <v>52</v>
      </c>
    </row>
    <row r="87" spans="1:21" ht="15" hidden="1" x14ac:dyDescent="0.2">
      <c r="A87" s="8" t="s">
        <v>206</v>
      </c>
      <c r="B87" s="8">
        <v>90</v>
      </c>
      <c r="C87" s="4">
        <v>75</v>
      </c>
      <c r="D87" s="4">
        <v>0</v>
      </c>
      <c r="E87" s="4">
        <v>0</v>
      </c>
      <c r="F87" s="4">
        <f t="shared" si="38"/>
        <v>75</v>
      </c>
      <c r="G87" s="4">
        <f t="shared" si="39"/>
        <v>135</v>
      </c>
      <c r="H87" s="4">
        <f t="shared" si="37"/>
        <v>210</v>
      </c>
      <c r="I87" s="4">
        <v>7</v>
      </c>
      <c r="J87" s="6" t="s">
        <v>12</v>
      </c>
      <c r="K87" s="75">
        <f t="shared" si="29"/>
        <v>630</v>
      </c>
      <c r="L87" s="75">
        <f t="shared" si="30"/>
        <v>0</v>
      </c>
      <c r="M87" s="75">
        <f t="shared" si="31"/>
        <v>630</v>
      </c>
      <c r="N87" s="17" t="e">
        <f>IF(O87=""," ",VLOOKUP(O87,'[8]2012 личен състав ОТД'!$A:$AO,2,FALSE))</f>
        <v>#N/A</v>
      </c>
      <c r="O87" s="81" t="e">
        <f>IF(A87=""," ",VLOOKUP(A87,'Български и испански език'!A:O,15,FALSE))</f>
        <v>#N/A</v>
      </c>
      <c r="P87" s="17" t="e">
        <f>IF(O87=""," ",VLOOKUP(O87,'[8]2012 личен състав ОТД'!$A:$AO,13,FALSE))</f>
        <v>#N/A</v>
      </c>
      <c r="Q87" s="17" t="e">
        <f>IF(O87=""," ",VLOOKUP(O87,'[8]2012 личен състав ОТД'!$A:$AO,12,FALSE))</f>
        <v>#N/A</v>
      </c>
      <c r="R87" s="17" t="e">
        <f>IF(A87=""," ",VLOOKUP(A87,'Профилиращ лист'!A:B,2,FALSE))</f>
        <v>#N/A</v>
      </c>
      <c r="T87" s="17" t="e">
        <f t="shared" ca="1" si="28"/>
        <v>#N/A</v>
      </c>
    </row>
    <row r="88" spans="1:21" ht="15" hidden="1" x14ac:dyDescent="0.2">
      <c r="A88" s="8" t="s">
        <v>224</v>
      </c>
      <c r="B88" s="8">
        <v>30</v>
      </c>
      <c r="C88" s="4">
        <v>30</v>
      </c>
      <c r="D88" s="4">
        <v>0</v>
      </c>
      <c r="E88" s="4">
        <v>0</v>
      </c>
      <c r="F88" s="4">
        <f t="shared" si="38"/>
        <v>30</v>
      </c>
      <c r="G88" s="4">
        <f t="shared" si="39"/>
        <v>60</v>
      </c>
      <c r="H88" s="4">
        <f t="shared" si="37"/>
        <v>90</v>
      </c>
      <c r="I88" s="4">
        <v>3</v>
      </c>
      <c r="J88" s="6" t="s">
        <v>12</v>
      </c>
      <c r="K88" s="75">
        <f t="shared" si="29"/>
        <v>30</v>
      </c>
      <c r="L88" s="75">
        <f t="shared" si="30"/>
        <v>0</v>
      </c>
      <c r="M88" s="75">
        <f t="shared" si="31"/>
        <v>30</v>
      </c>
      <c r="N88" s="17" t="e">
        <f>IF(O88=""," ",VLOOKUP(O88,'[8]2012 личен състав ОТД'!$A:$AO,2,FALSE))</f>
        <v>#N/A</v>
      </c>
      <c r="O88" s="81" t="e">
        <f>IF(A88=""," ",VLOOKUP(A88,'Български и испански език'!A:O,15,FALSE))</f>
        <v>#N/A</v>
      </c>
      <c r="P88" s="17" t="e">
        <f>IF(O88=""," ",VLOOKUP(O88,'[8]2012 личен състав ОТД'!$A:$AO,13,FALSE))</f>
        <v>#N/A</v>
      </c>
      <c r="Q88" s="17" t="e">
        <f>IF(O88=""," ",VLOOKUP(O88,'[8]2012 личен състав ОТД'!$A:$AO,12,FALSE))</f>
        <v>#N/A</v>
      </c>
      <c r="R88" s="17" t="e">
        <f>IF(A88=""," ",VLOOKUP(A88,'Профилиращ лист'!A:B,2,FALSE))</f>
        <v>#N/A</v>
      </c>
      <c r="T88" s="17" t="e">
        <f t="shared" ca="1" si="28"/>
        <v>#N/A</v>
      </c>
    </row>
    <row r="89" spans="1:21" ht="15" hidden="1" x14ac:dyDescent="0.2">
      <c r="A89" s="8" t="s">
        <v>71</v>
      </c>
      <c r="B89" s="8">
        <v>45</v>
      </c>
      <c r="C89" s="4">
        <v>45</v>
      </c>
      <c r="D89" s="4">
        <v>0</v>
      </c>
      <c r="E89" s="4">
        <v>0</v>
      </c>
      <c r="F89" s="4">
        <f t="shared" si="38"/>
        <v>45</v>
      </c>
      <c r="G89" s="4">
        <f t="shared" si="39"/>
        <v>75</v>
      </c>
      <c r="H89" s="4">
        <f t="shared" si="37"/>
        <v>120</v>
      </c>
      <c r="I89" s="4">
        <v>4</v>
      </c>
      <c r="J89" s="6" t="s">
        <v>12</v>
      </c>
      <c r="K89" s="75">
        <f t="shared" si="29"/>
        <v>45</v>
      </c>
      <c r="L89" s="75">
        <f t="shared" si="30"/>
        <v>0</v>
      </c>
      <c r="M89" s="75">
        <f t="shared" si="31"/>
        <v>45</v>
      </c>
      <c r="N89" s="17" t="str">
        <f>IF(O89=""," ",VLOOKUP(O89,'[8]2012 личен състав ОТД'!$A:$AO,2,FALSE))</f>
        <v xml:space="preserve">   </v>
      </c>
      <c r="O89" s="81">
        <f>IF(A89=""," ",VLOOKUP(A89,'Български и испански език'!A:O,15,FALSE))</f>
        <v>0</v>
      </c>
      <c r="P89" s="17">
        <f>IF(O89=""," ",VLOOKUP(O89,'[8]2012 личен състав ОТД'!$A:$AO,13,FALSE))</f>
        <v>0</v>
      </c>
      <c r="Q89" s="17">
        <f>IF(O89=""," ",VLOOKUP(O89,'[8]2012 личен състав ОТД'!$A:$AO,12,FALSE))</f>
        <v>0</v>
      </c>
      <c r="R89" s="17" t="str">
        <f>IF(A89=""," ",VLOOKUP(A89,'Профилиращ лист'!A:B,2,FALSE))</f>
        <v>ПЕД</v>
      </c>
      <c r="T89" s="17">
        <f t="shared" ca="1" si="28"/>
        <v>2013</v>
      </c>
    </row>
    <row r="90" spans="1:21" ht="15" hidden="1" x14ac:dyDescent="0.2">
      <c r="A90" s="8" t="s">
        <v>72</v>
      </c>
      <c r="B90" s="8">
        <v>30</v>
      </c>
      <c r="C90" s="4">
        <v>30</v>
      </c>
      <c r="D90" s="4">
        <v>0</v>
      </c>
      <c r="E90" s="4">
        <v>0</v>
      </c>
      <c r="F90" s="4">
        <f t="shared" si="38"/>
        <v>30</v>
      </c>
      <c r="G90" s="4">
        <f t="shared" si="39"/>
        <v>30</v>
      </c>
      <c r="H90" s="4">
        <f t="shared" si="37"/>
        <v>60</v>
      </c>
      <c r="I90" s="4">
        <v>2</v>
      </c>
      <c r="J90" s="6" t="s">
        <v>18</v>
      </c>
      <c r="K90" s="75">
        <f t="shared" si="29"/>
        <v>30</v>
      </c>
      <c r="L90" s="75">
        <f t="shared" si="30"/>
        <v>0</v>
      </c>
      <c r="M90" s="75">
        <f t="shared" si="31"/>
        <v>30</v>
      </c>
      <c r="N90" s="17" t="str">
        <f>IF(O90=""," ",VLOOKUP(O90,'[8]2012 личен състав ОТД'!$A:$AO,2,FALSE))</f>
        <v xml:space="preserve">   </v>
      </c>
      <c r="O90" s="81">
        <f>IF(A90=""," ",VLOOKUP(A90,'Български и испански език'!A:O,15,FALSE))</f>
        <v>0</v>
      </c>
      <c r="P90" s="17">
        <f>IF(O90=""," ",VLOOKUP(O90,'[8]2012 личен състав ОТД'!$A:$AO,13,FALSE))</f>
        <v>0</v>
      </c>
      <c r="Q90" s="17">
        <f>IF(O90=""," ",VLOOKUP(O90,'[8]2012 личен състав ОТД'!$A:$AO,12,FALSE))</f>
        <v>0</v>
      </c>
      <c r="R90" s="17" t="str">
        <f>IF(A90=""," ",VLOOKUP(A90,'Профилиращ лист'!A:B,2,FALSE))</f>
        <v>ФД</v>
      </c>
      <c r="T90" s="17">
        <f t="shared" ca="1" si="28"/>
        <v>2013</v>
      </c>
    </row>
    <row r="91" spans="1:21" ht="15" x14ac:dyDescent="0.2">
      <c r="A91" s="8" t="s">
        <v>225</v>
      </c>
      <c r="B91" s="8">
        <v>30</v>
      </c>
      <c r="C91" s="4">
        <v>30</v>
      </c>
      <c r="D91" s="4">
        <v>15</v>
      </c>
      <c r="E91" s="4">
        <v>15</v>
      </c>
      <c r="F91" s="4">
        <f t="shared" si="38"/>
        <v>0</v>
      </c>
      <c r="G91" s="4">
        <f t="shared" si="39"/>
        <v>30</v>
      </c>
      <c r="H91" s="4">
        <f t="shared" si="37"/>
        <v>60</v>
      </c>
      <c r="I91" s="4">
        <v>2</v>
      </c>
      <c r="J91" s="6" t="s">
        <v>12</v>
      </c>
      <c r="K91" s="75">
        <f t="shared" si="29"/>
        <v>30</v>
      </c>
      <c r="L91" s="75">
        <f t="shared" si="30"/>
        <v>15</v>
      </c>
      <c r="M91" s="75">
        <f t="shared" si="31"/>
        <v>15</v>
      </c>
      <c r="N91" s="17" t="str">
        <f>IF(O91=""," ",VLOOKUP(O91,'[8]2012 личен състав ОТД'!$A:$AO,2,FALSE))</f>
        <v>доц. д-р Хун Сунджонг</v>
      </c>
      <c r="O91" s="81" t="s">
        <v>520</v>
      </c>
      <c r="P91" s="17">
        <f>IF(O91=""," ",VLOOKUP(O91,'[8]2012 личен състав ОТД'!$A:$AO,13,FALSE))</f>
        <v>1968</v>
      </c>
      <c r="Q91" s="17" t="str">
        <f>IF(O91=""," ",VLOOKUP(O91,'[8]2012 личен състав ОТД'!$A:$AO,12,FALSE))</f>
        <v>ОТД</v>
      </c>
      <c r="R91" s="81" t="s">
        <v>255</v>
      </c>
      <c r="S91" s="81"/>
      <c r="T91" s="81">
        <f t="shared" ca="1" si="28"/>
        <v>45</v>
      </c>
      <c r="U91" s="81"/>
    </row>
    <row r="92" spans="1:21" ht="15" x14ac:dyDescent="0.2">
      <c r="A92" s="8" t="s">
        <v>74</v>
      </c>
      <c r="B92" s="8">
        <v>30</v>
      </c>
      <c r="C92" s="4">
        <v>45</v>
      </c>
      <c r="D92" s="4">
        <v>30</v>
      </c>
      <c r="E92" s="4">
        <v>15</v>
      </c>
      <c r="F92" s="4">
        <f t="shared" si="38"/>
        <v>0</v>
      </c>
      <c r="G92" s="4">
        <f t="shared" si="39"/>
        <v>45</v>
      </c>
      <c r="H92" s="4">
        <f t="shared" si="37"/>
        <v>90</v>
      </c>
      <c r="I92" s="4">
        <v>3</v>
      </c>
      <c r="J92" s="6" t="s">
        <v>12</v>
      </c>
      <c r="K92" s="75">
        <f t="shared" si="29"/>
        <v>45</v>
      </c>
      <c r="L92" s="75">
        <f t="shared" si="30"/>
        <v>30</v>
      </c>
      <c r="M92" s="75">
        <f t="shared" si="31"/>
        <v>15</v>
      </c>
      <c r="N92" s="17" t="str">
        <f>IF(O92=""," ",VLOOKUP(O92,'[8]2012 личен състав ОТД'!$A:$AO,2,FALSE))</f>
        <v>доц. дфн Вера Маровска</v>
      </c>
      <c r="O92" s="81" t="str">
        <f>IF(A92=""," ",VLOOKUP(A92,'Български и испански език'!A:O,15,FALSE))</f>
        <v>маровска</v>
      </c>
      <c r="P92" s="17">
        <f>IF(O92=""," ",VLOOKUP(O92,'[8]2012 личен състав ОТД'!$A:$AO,13,FALSE))</f>
        <v>1954</v>
      </c>
      <c r="Q92" s="17" t="str">
        <f>IF(O92=""," ",VLOOKUP(O92,'[8]2012 личен състав ОТД'!$A:$AO,12,FALSE))</f>
        <v>ОТД</v>
      </c>
      <c r="R92" s="17" t="str">
        <f>IF(A92=""," ",VLOOKUP(A92,'Профилиращ лист'!A:B,2,FALSE))</f>
        <v>СПЕ</v>
      </c>
      <c r="T92" s="17">
        <f t="shared" ca="1" si="28"/>
        <v>59</v>
      </c>
    </row>
    <row r="93" spans="1:21" ht="15" hidden="1" x14ac:dyDescent="0.2">
      <c r="A93" s="8"/>
      <c r="B93" s="18">
        <f t="shared" ref="B93:I93" si="40">SUM(B84:B92)</f>
        <v>345</v>
      </c>
      <c r="C93" s="18">
        <f t="shared" si="40"/>
        <v>345</v>
      </c>
      <c r="D93" s="18">
        <f t="shared" si="40"/>
        <v>105</v>
      </c>
      <c r="E93" s="18">
        <f t="shared" si="40"/>
        <v>60</v>
      </c>
      <c r="F93" s="18">
        <f t="shared" si="40"/>
        <v>180</v>
      </c>
      <c r="G93" s="18">
        <f t="shared" si="40"/>
        <v>555</v>
      </c>
      <c r="H93" s="18">
        <f t="shared" si="40"/>
        <v>900</v>
      </c>
      <c r="I93" s="18">
        <f t="shared" si="40"/>
        <v>30</v>
      </c>
      <c r="J93" s="6"/>
      <c r="T93" s="17">
        <f t="shared" ca="1" si="28"/>
        <v>2013</v>
      </c>
    </row>
    <row r="94" spans="1:21" ht="15" hidden="1" x14ac:dyDescent="0.2">
      <c r="A94" s="1" t="s">
        <v>75</v>
      </c>
      <c r="B94" s="1"/>
      <c r="C94" s="4"/>
      <c r="D94" s="4"/>
      <c r="E94" s="4"/>
      <c r="F94" s="4"/>
      <c r="G94" s="4"/>
      <c r="H94" s="4"/>
      <c r="I94" s="5"/>
      <c r="J94" s="6"/>
      <c r="T94" s="17">
        <f t="shared" ca="1" si="28"/>
        <v>2013</v>
      </c>
    </row>
    <row r="95" spans="1:21" ht="15" hidden="1" x14ac:dyDescent="0.2">
      <c r="A95" s="8" t="s">
        <v>226</v>
      </c>
      <c r="B95" s="8"/>
      <c r="C95" s="4"/>
      <c r="D95" s="4"/>
      <c r="E95" s="4"/>
      <c r="F95" s="4"/>
      <c r="G95" s="4"/>
      <c r="H95" s="4"/>
      <c r="I95" s="4">
        <v>2</v>
      </c>
      <c r="J95" s="6" t="s">
        <v>12</v>
      </c>
      <c r="T95" s="17">
        <f t="shared" ca="1" si="28"/>
        <v>2013</v>
      </c>
    </row>
    <row r="96" spans="1:21" ht="15" hidden="1" x14ac:dyDescent="0.2">
      <c r="A96" s="8" t="s">
        <v>77</v>
      </c>
      <c r="B96" s="8"/>
      <c r="C96" s="4"/>
      <c r="D96" s="4"/>
      <c r="E96" s="4"/>
      <c r="F96" s="4"/>
      <c r="G96" s="4"/>
      <c r="H96" s="4"/>
      <c r="I96" s="4">
        <v>2</v>
      </c>
      <c r="J96" s="6" t="s">
        <v>12</v>
      </c>
    </row>
    <row r="97" spans="1:18" ht="15" hidden="1" x14ac:dyDescent="0.2">
      <c r="A97" s="8" t="s">
        <v>227</v>
      </c>
      <c r="B97" s="8"/>
      <c r="C97" s="4"/>
      <c r="D97" s="4"/>
      <c r="E97" s="4"/>
      <c r="F97" s="4"/>
      <c r="G97" s="4"/>
      <c r="H97" s="4"/>
      <c r="I97" s="4">
        <v>3</v>
      </c>
      <c r="J97" s="6" t="s">
        <v>12</v>
      </c>
    </row>
    <row r="98" spans="1:18" ht="15" hidden="1" x14ac:dyDescent="0.2">
      <c r="A98" s="8" t="s">
        <v>79</v>
      </c>
      <c r="B98" s="8"/>
      <c r="C98" s="4"/>
      <c r="D98" s="4"/>
      <c r="E98" s="4"/>
      <c r="F98" s="4"/>
      <c r="G98" s="4"/>
      <c r="H98" s="4"/>
      <c r="I98" s="4">
        <v>3</v>
      </c>
      <c r="J98" s="6" t="s">
        <v>12</v>
      </c>
    </row>
    <row r="99" spans="1:18" ht="15" hidden="1" x14ac:dyDescent="0.25">
      <c r="A99" s="8"/>
      <c r="B99" s="8"/>
      <c r="C99" s="4"/>
      <c r="D99" s="4"/>
      <c r="E99" s="4"/>
      <c r="F99" s="4"/>
      <c r="G99" s="4"/>
      <c r="H99" s="4"/>
      <c r="I99" s="11">
        <f>SUM(I95:I98)</f>
        <v>10</v>
      </c>
      <c r="J99" s="10"/>
    </row>
    <row r="100" spans="1:18" ht="21" hidden="1" x14ac:dyDescent="0.25">
      <c r="A100" s="12" t="s">
        <v>80</v>
      </c>
      <c r="B100" s="20">
        <f t="shared" ref="B100:H100" si="41">B93+B82+B69+B56+B45+B34+B23+B11</f>
        <v>2700</v>
      </c>
      <c r="C100" s="9">
        <f t="shared" si="41"/>
        <v>3000</v>
      </c>
      <c r="D100" s="9">
        <f t="shared" si="41"/>
        <v>1335</v>
      </c>
      <c r="E100" s="9">
        <f t="shared" si="41"/>
        <v>600</v>
      </c>
      <c r="F100" s="9">
        <f t="shared" si="41"/>
        <v>1065</v>
      </c>
      <c r="G100" s="9">
        <f t="shared" si="41"/>
        <v>4200</v>
      </c>
      <c r="H100" s="9">
        <f t="shared" si="41"/>
        <v>7200</v>
      </c>
      <c r="I100" s="11">
        <f>I93+I82+I69+I56+I45+I34+I23+I11+I99</f>
        <v>250</v>
      </c>
      <c r="J100" s="10"/>
      <c r="K100" s="75">
        <f t="shared" si="29"/>
        <v>3000</v>
      </c>
      <c r="L100" s="75">
        <f t="shared" si="30"/>
        <v>1335</v>
      </c>
      <c r="M100" s="75">
        <f t="shared" si="31"/>
        <v>1665</v>
      </c>
      <c r="N100" s="17" t="str">
        <f>IF(O100=""," ",VLOOKUP(O100,'[8]2012 личен състав ОТД'!$A:$AO,2,FALSE))</f>
        <v xml:space="preserve"> </v>
      </c>
      <c r="P100" s="17" t="str">
        <f>IF(O100=""," ",VLOOKUP(O100,'[8]2012 личен състав ОТД'!$A:$AO,13,FALSE))</f>
        <v xml:space="preserve"> </v>
      </c>
      <c r="Q100" s="17" t="str">
        <f>IF(O100=""," ",VLOOKUP(O100,'[8]2012 личен състав ОТД'!$A:$AO,12,FALSE))</f>
        <v xml:space="preserve"> </v>
      </c>
    </row>
    <row r="101" spans="1:18" ht="15" hidden="1" x14ac:dyDescent="0.25">
      <c r="A101" s="8"/>
      <c r="B101" s="8"/>
      <c r="C101" s="4">
        <f t="shared" ref="C101:I101" si="42">C100/120</f>
        <v>25</v>
      </c>
      <c r="D101" s="4">
        <f t="shared" si="42"/>
        <v>11.125</v>
      </c>
      <c r="E101" s="4">
        <f t="shared" si="42"/>
        <v>5</v>
      </c>
      <c r="F101" s="4">
        <f t="shared" si="42"/>
        <v>8.875</v>
      </c>
      <c r="G101" s="4">
        <f t="shared" si="42"/>
        <v>35</v>
      </c>
      <c r="H101" s="4">
        <f t="shared" si="42"/>
        <v>60</v>
      </c>
      <c r="I101" s="5">
        <f t="shared" si="42"/>
        <v>2.0833333333333335</v>
      </c>
      <c r="J101" s="10"/>
      <c r="N101" s="17" t="str">
        <f>IF(O101=""," ",VLOOKUP(O101,'[8]2012 личен състав ОТД'!$A:$AO,2,FALSE))</f>
        <v xml:space="preserve"> </v>
      </c>
      <c r="P101" s="17" t="str">
        <f>IF(O101=""," ",VLOOKUP(O101,'[8]2012 личен състав ОТД'!$A:$AO,13,FALSE))</f>
        <v xml:space="preserve"> </v>
      </c>
      <c r="Q101" s="17" t="str">
        <f>IF(O101=""," ",VLOOKUP(O101,'[8]2012 личен състав ОТД'!$A:$AO,12,FALSE))</f>
        <v xml:space="preserve"> </v>
      </c>
      <c r="R101" s="17" t="str">
        <f>IF(A101=""," ",VLOOKUP(A101,'Профилиращ лист'!A:B,2,FALSE))</f>
        <v xml:space="preserve"> </v>
      </c>
    </row>
    <row r="102" spans="1:18" ht="15" hidden="1" x14ac:dyDescent="0.25">
      <c r="A102" s="8"/>
      <c r="B102" s="8"/>
      <c r="C102" s="4"/>
      <c r="D102" s="4"/>
      <c r="E102" s="4"/>
      <c r="F102" s="4"/>
      <c r="G102" s="4"/>
      <c r="H102" s="4"/>
      <c r="I102" s="5"/>
      <c r="J102" s="10"/>
      <c r="N102" s="17" t="str">
        <f>IF(O102=""," ",VLOOKUP(O102,'[8]2012 личен състав ОТД'!$A:$AO,2,FALSE))</f>
        <v xml:space="preserve"> </v>
      </c>
      <c r="P102" s="17" t="str">
        <f>IF(O102=""," ",VLOOKUP(O102,'[8]2012 личен състав ОТД'!$A:$AO,13,FALSE))</f>
        <v xml:space="preserve"> </v>
      </c>
      <c r="Q102" s="17" t="str">
        <f>IF(O102=""," ",VLOOKUP(O102,'[8]2012 личен състав ОТД'!$A:$AO,12,FALSE))</f>
        <v xml:space="preserve"> </v>
      </c>
      <c r="R102" s="17" t="str">
        <f>IF(A102=""," ",VLOOKUP(A102,'Профилиращ лист'!A:B,2,FALSE))</f>
        <v xml:space="preserve"> </v>
      </c>
    </row>
    <row r="103" spans="1:18" hidden="1" x14ac:dyDescent="0.2">
      <c r="N103" s="17" t="str">
        <f>IF(O103=""," ",VLOOKUP(O103,'[8]2012 личен състав ОТД'!$A:$AO,2,FALSE))</f>
        <v xml:space="preserve"> </v>
      </c>
      <c r="P103" s="17" t="str">
        <f>IF(O103=""," ",VLOOKUP(O103,'[8]2012 личен състав ОТД'!$A:$AO,13,FALSE))</f>
        <v xml:space="preserve"> </v>
      </c>
      <c r="Q103" s="17" t="str">
        <f>IF(O103=""," ",VLOOKUP(O103,'[8]2012 личен състав ОТД'!$A:$AO,12,FALSE))</f>
        <v xml:space="preserve"> </v>
      </c>
      <c r="R103" s="17" t="str">
        <f>IF(A103=""," ",VLOOKUP(A103,'Профилиращ лист'!A:B,2,FALSE))</f>
        <v xml:space="preserve"> </v>
      </c>
    </row>
    <row r="104" spans="1:18" hidden="1" x14ac:dyDescent="0.2">
      <c r="N104" s="17" t="str">
        <f>IF(O104=""," ",VLOOKUP(O104,'[8]2012 личен състав ОТД'!$A:$AO,2,FALSE))</f>
        <v xml:space="preserve"> </v>
      </c>
      <c r="P104" s="17" t="str">
        <f>IF(O104=""," ",VLOOKUP(O104,'[8]2012 личен състав ОТД'!$A:$AO,13,FALSE))</f>
        <v xml:space="preserve"> </v>
      </c>
      <c r="Q104" s="17" t="str">
        <f>IF(O104=""," ",VLOOKUP(O104,'[8]2012 личен състав ОТД'!$A:$AO,12,FALSE))</f>
        <v xml:space="preserve"> </v>
      </c>
      <c r="R104" s="17" t="str">
        <f>IF(A104=""," ",VLOOKUP(A104,'Профилиращ лист'!A:B,2,FALSE))</f>
        <v xml:space="preserve"> </v>
      </c>
    </row>
    <row r="105" spans="1:18" hidden="1" x14ac:dyDescent="0.2">
      <c r="N105" s="17" t="str">
        <f>IF(O105=""," ",VLOOKUP(O105,'[8]2012 личен състав ОТД'!$A:$AO,2,FALSE))</f>
        <v xml:space="preserve"> </v>
      </c>
      <c r="P105" s="17" t="str">
        <f>IF(O105=""," ",VLOOKUP(O105,'[8]2012 личен състав ОТД'!$A:$AO,13,FALSE))</f>
        <v xml:space="preserve"> </v>
      </c>
      <c r="Q105" s="17" t="str">
        <f>IF(O105=""," ",VLOOKUP(O105,'[8]2012 личен състав ОТД'!$A:$AO,12,FALSE))</f>
        <v xml:space="preserve"> </v>
      </c>
      <c r="R105" s="17" t="str">
        <f>IF(A105=""," ",VLOOKUP(A105,'Профилиращ лист'!A:B,2,FALSE))</f>
        <v xml:space="preserve"> </v>
      </c>
    </row>
    <row r="106" spans="1:18" hidden="1" x14ac:dyDescent="0.2">
      <c r="N106" s="17" t="str">
        <f>IF(O106=""," ",VLOOKUP(O106,'[8]2012 личен състав ОТД'!$A:$AO,2,FALSE))</f>
        <v xml:space="preserve"> </v>
      </c>
      <c r="P106" s="17" t="str">
        <f>IF(O106=""," ",VLOOKUP(O106,'[8]2012 личен състав ОТД'!$A:$AO,13,FALSE))</f>
        <v xml:space="preserve"> </v>
      </c>
      <c r="Q106" s="17" t="str">
        <f>IF(O106=""," ",VLOOKUP(O106,'[8]2012 личен състав ОТД'!$A:$AO,12,FALSE))</f>
        <v xml:space="preserve"> </v>
      </c>
      <c r="R106" s="17" t="str">
        <f>IF(A106=""," ",VLOOKUP(A106,'Профилиращ лист'!A:B,2,FALSE))</f>
        <v xml:space="preserve"> </v>
      </c>
    </row>
    <row r="107" spans="1:18" hidden="1" x14ac:dyDescent="0.2">
      <c r="N107" s="17" t="str">
        <f>IF(O107=""," ",VLOOKUP(O107,'[8]2012 личен състав ОТД'!$A:$AO,2,FALSE))</f>
        <v xml:space="preserve"> </v>
      </c>
      <c r="P107" s="17" t="str">
        <f>IF(O107=""," ",VLOOKUP(O107,'[8]2012 личен състав ОТД'!$A:$AO,13,FALSE))</f>
        <v xml:space="preserve"> </v>
      </c>
      <c r="Q107" s="17" t="str">
        <f>IF(O107=""," ",VLOOKUP(O107,'[8]2012 личен състав ОТД'!$A:$AO,12,FALSE))</f>
        <v xml:space="preserve"> </v>
      </c>
      <c r="R107" s="17" t="str">
        <f>IF(A107=""," ",VLOOKUP(A107,'Профилиращ лист'!A:B,2,FALSE))</f>
        <v xml:space="preserve"> </v>
      </c>
    </row>
    <row r="108" spans="1:18" hidden="1" x14ac:dyDescent="0.2">
      <c r="N108" s="17" t="str">
        <f>IF(O108=""," ",VLOOKUP(O108,'[8]2012 личен състав ОТД'!$A:$AO,2,FALSE))</f>
        <v xml:space="preserve"> </v>
      </c>
      <c r="P108" s="17" t="str">
        <f>IF(O108=""," ",VLOOKUP(O108,'[8]2012 личен състав ОТД'!$A:$AO,13,FALSE))</f>
        <v xml:space="preserve"> </v>
      </c>
      <c r="Q108" s="17" t="str">
        <f>IF(O108=""," ",VLOOKUP(O108,'[8]2012 личен състав ОТД'!$A:$AO,12,FALSE))</f>
        <v xml:space="preserve"> </v>
      </c>
      <c r="R108" s="17" t="str">
        <f>IF(A108=""," ",VLOOKUP(A108,'Профилиращ лист'!A:B,2,FALSE))</f>
        <v xml:space="preserve"> </v>
      </c>
    </row>
    <row r="109" spans="1:18" hidden="1" x14ac:dyDescent="0.2">
      <c r="N109" s="17" t="str">
        <f>IF(O109=""," ",VLOOKUP(O109,'[8]2012 личен състав ОТД'!$A:$AO,2,FALSE))</f>
        <v xml:space="preserve"> </v>
      </c>
      <c r="P109" s="17" t="str">
        <f>IF(O109=""," ",VLOOKUP(O109,'[8]2012 личен състав ОТД'!$A:$AO,13,FALSE))</f>
        <v xml:space="preserve"> </v>
      </c>
      <c r="Q109" s="17" t="str">
        <f>IF(O109=""," ",VLOOKUP(O109,'[8]2012 личен състав ОТД'!$A:$AO,12,FALSE))</f>
        <v xml:space="preserve"> </v>
      </c>
      <c r="R109" s="17" t="str">
        <f>IF(A109=""," ",VLOOKUP(A109,'Профилиращ лист'!A:B,2,FALSE))</f>
        <v xml:space="preserve"> </v>
      </c>
    </row>
  </sheetData>
  <autoFilter ref="A1:R109">
    <filterColumn colId="9">
      <filters>
        <filter val="1"/>
        <filter val="изпит"/>
        <filter val="т.о."/>
        <filter val="Ф"/>
      </filters>
    </filterColumn>
    <filterColumn colId="11">
      <filters>
        <filter val="1"/>
        <filter val="15"/>
        <filter val="30"/>
        <filter val="45"/>
        <filter val="60"/>
        <filter val="75"/>
      </filters>
    </filterColumn>
  </autoFilter>
  <pageMargins left="0.7" right="0.7" top="0.75" bottom="0.75" header="0.3" footer="0.3"/>
  <pageSetup paperSize="9" orientation="portrait" r:id="rId1"/>
  <rowBreaks count="1" manualBreakCount="1">
    <brk id="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abSelected="1" topLeftCell="A19" workbookViewId="0">
      <selection activeCell="B38" sqref="B38"/>
    </sheetView>
  </sheetViews>
  <sheetFormatPr defaultRowHeight="12.75" x14ac:dyDescent="0.2"/>
  <cols>
    <col min="1" max="1" width="40.28515625" customWidth="1"/>
    <col min="2" max="7" width="11.140625" customWidth="1"/>
  </cols>
  <sheetData>
    <row r="1" spans="1:10" ht="106.5" customHeight="1" thickTop="1" x14ac:dyDescent="0.2">
      <c r="A1" s="88"/>
      <c r="B1" s="89" t="s">
        <v>542</v>
      </c>
      <c r="C1" s="89" t="s">
        <v>543</v>
      </c>
      <c r="D1" s="89" t="s">
        <v>544</v>
      </c>
      <c r="E1" s="89" t="s">
        <v>546</v>
      </c>
      <c r="F1" s="89" t="s">
        <v>545</v>
      </c>
      <c r="G1" s="90" t="s">
        <v>555</v>
      </c>
      <c r="H1" s="87"/>
      <c r="J1" s="86"/>
    </row>
    <row r="2" spans="1:10" x14ac:dyDescent="0.2">
      <c r="A2" s="91" t="s">
        <v>532</v>
      </c>
      <c r="B2" s="104">
        <f>(COUNTIF('Български език и руски език'!Q:Q,"ОТД"))/((COUNTIF('Български език и руски език'!Q:Q,"ХОН"))+(COUNTIF('Български език и руски език'!Q:Q,"ОТД")))</f>
        <v>0.94285714285714284</v>
      </c>
      <c r="C2" s="105">
        <f>'Български език и руски език'!AD2</f>
        <v>0.75757575757575757</v>
      </c>
      <c r="D2" s="106">
        <f ca="1">'Български език и руски език'!P2</f>
        <v>56.424242424242493</v>
      </c>
      <c r="E2" s="106">
        <f ca="1">'Български език и руски език'!AE2</f>
        <v>0.625</v>
      </c>
      <c r="F2" s="109">
        <f ca="1">'Български език и руски език'!AC2</f>
        <v>0.34042553191489361</v>
      </c>
      <c r="G2" s="93"/>
    </row>
    <row r="3" spans="1:10" x14ac:dyDescent="0.2">
      <c r="A3" s="94" t="s">
        <v>540</v>
      </c>
      <c r="B3" s="104">
        <f>(COUNTIF('Български и руски език (ЗО нов)'!Q:Q,"ОТД"))/((COUNTIF('Български и руски език (ЗО нов)'!Q:Q,"ХОН"))+(COUNTIF('Български и руски език (ЗО нов)'!Q:Q,"ОТД")))</f>
        <v>0.94444444444444442</v>
      </c>
      <c r="C3" s="105">
        <f>'Български и руски език (ЗО нов)'!AD2</f>
        <v>0.76470588235294112</v>
      </c>
      <c r="D3" s="106">
        <f ca="1">'Български и руски език (ЗО нов)'!P2</f>
        <v>56.911764705882433</v>
      </c>
      <c r="E3" s="106">
        <f ca="1">'Български и руски език (ЗО нов)'!AE2</f>
        <v>0.58823529411764708</v>
      </c>
      <c r="F3" s="109">
        <f ca="1">'Български и руски език (ЗО нов)'!AC2</f>
        <v>0.36956521739130432</v>
      </c>
      <c r="G3" s="93"/>
    </row>
    <row r="4" spans="1:10" x14ac:dyDescent="0.2">
      <c r="A4" s="91" t="s">
        <v>533</v>
      </c>
      <c r="B4" s="104">
        <f>(COUNTIF('Български и английски език'!Q:Q,"ОТД"))/((COUNTIF('Български и английски език'!Q:Q,"ХОН"))+(COUNTIF('Български и английски език'!Q:Q,"ОТД")))</f>
        <v>1</v>
      </c>
      <c r="C4" s="105">
        <f>'Български и английски език'!AD2</f>
        <v>0.76923076923076927</v>
      </c>
      <c r="D4" s="106">
        <f ca="1">'Български и английски език'!P2</f>
        <v>58.384615384615472</v>
      </c>
      <c r="E4" s="106">
        <f ca="1">'Български и английски език'!AE2</f>
        <v>0</v>
      </c>
      <c r="F4" s="109">
        <f ca="1">'Български и английски език'!AC2</f>
        <v>0.43396226415094341</v>
      </c>
      <c r="G4" s="93"/>
    </row>
    <row r="5" spans="1:10" x14ac:dyDescent="0.2">
      <c r="A5" s="91" t="s">
        <v>534</v>
      </c>
      <c r="B5" s="104">
        <f>(COUNTIF('Български език и новогръцки'!Q:Q,"ОТД"))/((COUNTIF('Български език и новогръцки'!Q:Q,"ХОН"))+(COUNTIF('Български език и новогръцки'!Q:Q,"ОТД")))</f>
        <v>0.86111111111111116</v>
      </c>
      <c r="C5" s="105">
        <f>'Български език и новогръцки'!AD2</f>
        <v>0.90322580645161288</v>
      </c>
      <c r="D5" s="106">
        <f ca="1">'Български език и новогръцки'!P2</f>
        <v>55.870967741935374</v>
      </c>
      <c r="E5" s="106">
        <f ca="1">'Български език и новогръцки'!AE2</f>
        <v>0</v>
      </c>
      <c r="F5" s="109">
        <f ca="1">'Български език и новогръцки'!AC2</f>
        <v>0.56756756756756754</v>
      </c>
      <c r="G5" s="93"/>
    </row>
    <row r="6" spans="1:10" x14ac:dyDescent="0.2">
      <c r="A6" s="91" t="s">
        <v>535</v>
      </c>
      <c r="B6" s="104">
        <f>(COUNTIF('Български език и италиански'!Q:Q,"ОТД"))/((COUNTIF('Български език и италиански'!Q:Q,"ХОН"))+(COUNTIF('Български език и италиански'!Q:Q,"ОТД")))</f>
        <v>0.76744186046511631</v>
      </c>
      <c r="C6" s="105">
        <f>'Български език и италиански'!AD2</f>
        <v>0.78787878787878785</v>
      </c>
      <c r="D6" s="106">
        <f ca="1">'Български език и италиански'!P2</f>
        <v>51.066666666666606</v>
      </c>
      <c r="E6" s="106">
        <f ca="1">'Български език и италиански'!AE2</f>
        <v>0</v>
      </c>
      <c r="F6" s="109">
        <f ca="1">'Български език и италиански'!AC2</f>
        <v>0.40540540540540543</v>
      </c>
      <c r="G6" s="93"/>
    </row>
    <row r="7" spans="1:10" x14ac:dyDescent="0.2">
      <c r="A7" s="91" t="s">
        <v>536</v>
      </c>
      <c r="B7" s="104">
        <f>(COUNTIF('Български език и история'!Q:Q,"ОТД"))/((COUNTIF('Български език и история'!Q:Q,"ХОН"))+(COUNTIF('Български език и история'!Q:Q,"ОТД")))</f>
        <v>1</v>
      </c>
      <c r="C7" s="105">
        <f>'Български език и история'!AD2</f>
        <v>0.68181818181818177</v>
      </c>
      <c r="D7" s="106">
        <f ca="1">'Български език и история'!P2</f>
        <v>53.909090909090992</v>
      </c>
      <c r="E7" s="106">
        <f ca="1">'Български език и история'!AE2</f>
        <v>0</v>
      </c>
      <c r="F7" s="109">
        <f ca="1">'Български език и история'!AC2</f>
        <v>0.45</v>
      </c>
      <c r="G7" s="93"/>
    </row>
    <row r="8" spans="1:10" x14ac:dyDescent="0.2">
      <c r="A8" s="94" t="s">
        <v>541</v>
      </c>
      <c r="B8" s="104">
        <f>(COUNTIF('Български и история (ЗО нов)'!Q:Q,"ОТД"))/((COUNTIF('Български и история (ЗО нов)'!Q:Q,"ХОН"))+(COUNTIF('Български и история (ЗО нов)'!Q:Q,"ОТД")))</f>
        <v>0.91304347826086951</v>
      </c>
      <c r="C8" s="105">
        <f>'Български и история (ЗО нов)'!AD2</f>
        <v>0.69047619047619047</v>
      </c>
      <c r="D8" s="106">
        <f ca="1">'Български и история (ЗО нов)'!P2</f>
        <v>55.023809523809632</v>
      </c>
      <c r="E8" s="106">
        <f ca="1">'Български и история (ЗО нов)'!AE2</f>
        <v>0</v>
      </c>
      <c r="F8" s="109">
        <f ca="1">'Български и история (ЗО нов)'!AC2</f>
        <v>0.43902439024390244</v>
      </c>
      <c r="G8" s="93"/>
    </row>
    <row r="9" spans="1:10" x14ac:dyDescent="0.2">
      <c r="A9" s="91" t="s">
        <v>537</v>
      </c>
      <c r="B9" s="104">
        <f>(COUNTIF('Български и испански език'!Q:Q,"ОТД"))/((COUNTIF('Български и испански език'!Q:Q,"ХОН"))+(COUNTIF('Български и испански език'!Q:Q,"ОТД")))</f>
        <v>0.86486486486486491</v>
      </c>
      <c r="C9" s="105">
        <f>'Български и испански език'!AD2</f>
        <v>0.78125</v>
      </c>
      <c r="D9" s="106">
        <f ca="1">'Български и испански език'!P2</f>
        <v>54.625</v>
      </c>
      <c r="E9" s="106">
        <f ca="1">'Български и испански език'!AE2</f>
        <v>0</v>
      </c>
      <c r="F9" s="109">
        <f ca="1">'Български и испански език'!AC2</f>
        <v>0.375</v>
      </c>
      <c r="G9" s="93"/>
    </row>
    <row r="10" spans="1:10" x14ac:dyDescent="0.2">
      <c r="A10" s="91" t="s">
        <v>538</v>
      </c>
      <c r="B10" s="104">
        <f>(COUNTIF('Български език и турски език'!Q:Q,"ОТД"))/((COUNTIF('Български език и турски език'!Q:Q,"ХОН"))+(COUNTIF('Български език и турски език'!Q:Q,"ОТД")))</f>
        <v>0.70731707317073167</v>
      </c>
      <c r="C10" s="105">
        <f>'Български език и турски език'!AD2</f>
        <v>0.93103448275862066</v>
      </c>
      <c r="D10" s="106">
        <f ca="1">'Български език и турски език'!P2</f>
        <v>52.689655172413723</v>
      </c>
      <c r="E10" s="106">
        <f ca="1">'Български език и турски език'!AE2</f>
        <v>0</v>
      </c>
      <c r="F10" s="109">
        <f ca="1">'Български език и турски език'!AC2</f>
        <v>0.35294117647058826</v>
      </c>
      <c r="G10" s="93"/>
    </row>
    <row r="11" spans="1:10" ht="13.5" thickBot="1" x14ac:dyDescent="0.25">
      <c r="A11" s="98" t="s">
        <v>539</v>
      </c>
      <c r="B11" s="104">
        <f>(COUNTIF('Български език и китайски език'!Q:Q,"ОТД"))/((COUNTIF('Български език и китайски език'!Q:Q,"ХОН"))+(COUNTIF('Български език и китайски език'!Q:Q,"ОТД")))</f>
        <v>0.73170731707317072</v>
      </c>
      <c r="C11" s="105">
        <f>'Български език и китайски език'!AD2</f>
        <v>0.93333333333333335</v>
      </c>
      <c r="D11" s="107">
        <f ca="1">'Български език и китайски език'!P2</f>
        <v>52.900000000000091</v>
      </c>
      <c r="E11" s="107">
        <f ca="1">'Български език и китайски език'!AE2</f>
        <v>0</v>
      </c>
      <c r="F11" s="110">
        <f ca="1">'Български език и китайски език'!AC2</f>
        <v>0.44444444444444442</v>
      </c>
      <c r="G11" s="99"/>
    </row>
    <row r="12" spans="1:10" ht="16.5" thickTop="1" x14ac:dyDescent="0.25">
      <c r="A12" s="88"/>
      <c r="B12" s="141" t="s">
        <v>561</v>
      </c>
      <c r="C12" s="141"/>
      <c r="D12" s="141"/>
      <c r="E12" s="141"/>
      <c r="F12" s="141"/>
      <c r="G12" s="141"/>
      <c r="H12" s="141"/>
      <c r="I12" s="141"/>
      <c r="J12" s="142"/>
    </row>
    <row r="13" spans="1:10" x14ac:dyDescent="0.2">
      <c r="A13" s="91"/>
      <c r="B13" s="100" t="s">
        <v>553</v>
      </c>
      <c r="C13" s="100" t="s">
        <v>548</v>
      </c>
      <c r="D13" s="100" t="s">
        <v>549</v>
      </c>
      <c r="E13" s="100" t="s">
        <v>550</v>
      </c>
      <c r="F13" s="100" t="s">
        <v>551</v>
      </c>
      <c r="G13" s="100" t="s">
        <v>552</v>
      </c>
      <c r="H13" s="100" t="s">
        <v>608</v>
      </c>
      <c r="I13" s="100" t="s">
        <v>554</v>
      </c>
      <c r="J13" s="101"/>
    </row>
    <row r="14" spans="1:10" x14ac:dyDescent="0.2">
      <c r="A14" s="91" t="s">
        <v>532</v>
      </c>
      <c r="B14" s="122">
        <f ca="1">'Български език и руски език'!V2</f>
        <v>16</v>
      </c>
      <c r="C14" s="122">
        <f ca="1">'Български език и руски език'!W2</f>
        <v>10</v>
      </c>
      <c r="D14" s="122">
        <f ca="1">'Български език и руски език'!X2</f>
        <v>5</v>
      </c>
      <c r="E14" s="122">
        <f>'Български език и руски език'!Y2</f>
        <v>8</v>
      </c>
      <c r="F14" s="122">
        <f>'Български език и руски език'!Z2</f>
        <v>4</v>
      </c>
      <c r="G14" s="122">
        <f>'Български език и руски език'!AA2</f>
        <v>4</v>
      </c>
      <c r="H14" s="122">
        <f ca="1">'Български език и руски език'!AB2</f>
        <v>47</v>
      </c>
      <c r="I14" s="92"/>
      <c r="J14" s="93"/>
    </row>
    <row r="15" spans="1:10" x14ac:dyDescent="0.2">
      <c r="A15" s="94" t="s">
        <v>540</v>
      </c>
      <c r="B15" s="122">
        <f ca="1">'Български и руски език (ЗО нов)'!V2</f>
        <v>17</v>
      </c>
      <c r="C15" s="122">
        <f ca="1">'Български и руски език (ЗО нов)'!W2</f>
        <v>9</v>
      </c>
      <c r="D15" s="122">
        <f ca="1">'Български и руски език (ЗО нов)'!X2</f>
        <v>5</v>
      </c>
      <c r="E15" s="122">
        <f>'Български и руски език (ЗО нов)'!Y2</f>
        <v>8</v>
      </c>
      <c r="F15" s="122">
        <f>'Български и руски език (ЗО нов)'!Z2</f>
        <v>3</v>
      </c>
      <c r="G15" s="122">
        <f>'Български и руски език (ЗО нов)'!AA2</f>
        <v>4</v>
      </c>
      <c r="H15" s="122">
        <f ca="1">'Български и руски език (ЗО нов)'!AB2</f>
        <v>46</v>
      </c>
      <c r="I15" s="92"/>
      <c r="J15" s="93"/>
    </row>
    <row r="16" spans="1:10" x14ac:dyDescent="0.2">
      <c r="A16" s="91" t="s">
        <v>533</v>
      </c>
      <c r="B16" s="122">
        <f ca="1">'Български и английски език'!V2</f>
        <v>23</v>
      </c>
      <c r="C16" s="122">
        <f ca="1">'Български и английски език'!W2</f>
        <v>8</v>
      </c>
      <c r="D16" s="122">
        <f ca="1">'Български и английски език'!X2</f>
        <v>5</v>
      </c>
      <c r="E16" s="122">
        <f>'Български и английски език'!Y2</f>
        <v>8</v>
      </c>
      <c r="F16" s="122">
        <f>'Български и английски език'!Z2</f>
        <v>5</v>
      </c>
      <c r="G16" s="122">
        <f>'Български и английски език'!AA2</f>
        <v>4</v>
      </c>
      <c r="H16" s="122">
        <f ca="1">'Български и английски език'!AB2</f>
        <v>53</v>
      </c>
      <c r="I16" s="92"/>
      <c r="J16" s="93"/>
    </row>
    <row r="17" spans="1:10" x14ac:dyDescent="0.2">
      <c r="A17" s="91" t="s">
        <v>534</v>
      </c>
      <c r="B17" s="122">
        <f ca="1">'Български език и новогръцки'!V2</f>
        <v>21</v>
      </c>
      <c r="C17" s="122">
        <f ca="1">'Български език и новогръцки'!W2</f>
        <v>7</v>
      </c>
      <c r="D17" s="122">
        <f ca="1">'Български език и новогръцки'!X2</f>
        <v>5</v>
      </c>
      <c r="E17" s="122">
        <f>'Български език и новогръцки'!Y2</f>
        <v>0</v>
      </c>
      <c r="F17" s="122">
        <f>'Български език и новогръцки'!Z2</f>
        <v>4</v>
      </c>
      <c r="G17" s="122">
        <f>'Български език и новогръцки'!AA2</f>
        <v>0</v>
      </c>
      <c r="H17" s="122">
        <f ca="1">'Български език и новогръцки'!AB2</f>
        <v>37</v>
      </c>
      <c r="J17" s="93"/>
    </row>
    <row r="18" spans="1:10" x14ac:dyDescent="0.2">
      <c r="A18" s="91" t="s">
        <v>535</v>
      </c>
      <c r="B18" s="122">
        <f ca="1">'Български език и италиански'!V2</f>
        <v>15</v>
      </c>
      <c r="C18" s="122">
        <f ca="1">'Български език и италиански'!W2</f>
        <v>10</v>
      </c>
      <c r="D18" s="122">
        <f ca="1">'Български език и италиански'!X2</f>
        <v>4</v>
      </c>
      <c r="E18" s="122">
        <f>'Български език и италиански'!Y2</f>
        <v>0</v>
      </c>
      <c r="F18" s="122">
        <f>'Български език и италиански'!Z2</f>
        <v>4</v>
      </c>
      <c r="G18" s="122">
        <f>'Български език и италиански'!AA2</f>
        <v>4</v>
      </c>
      <c r="H18" s="122">
        <f ca="1">'Български език и италиански'!AB2</f>
        <v>37</v>
      </c>
      <c r="I18" s="92"/>
      <c r="J18" s="93"/>
    </row>
    <row r="19" spans="1:10" x14ac:dyDescent="0.2">
      <c r="A19" s="91" t="s">
        <v>536</v>
      </c>
      <c r="B19" s="122">
        <f ca="1">'Български език и история'!V2</f>
        <v>18</v>
      </c>
      <c r="C19" s="122">
        <f ca="1">'Български език и история'!W2</f>
        <v>6</v>
      </c>
      <c r="D19" s="122">
        <f ca="1">'Български език и история'!X2</f>
        <v>6</v>
      </c>
      <c r="E19" s="122">
        <f>'Български език и история'!Y2</f>
        <v>3</v>
      </c>
      <c r="F19" s="122">
        <f>'Български език и история'!Z2</f>
        <v>3</v>
      </c>
      <c r="G19" s="122">
        <f>'Български език и история'!AA2</f>
        <v>4</v>
      </c>
      <c r="H19" s="122">
        <f ca="1">'Български език и история'!AB2</f>
        <v>40</v>
      </c>
      <c r="I19" s="92"/>
      <c r="J19" s="93"/>
    </row>
    <row r="20" spans="1:10" x14ac:dyDescent="0.2">
      <c r="A20" s="94" t="s">
        <v>541</v>
      </c>
      <c r="B20" s="122">
        <f ca="1">'Български и история (ЗО нов)'!V2</f>
        <v>18</v>
      </c>
      <c r="C20" s="122">
        <f ca="1">'Български и история (ЗО нов)'!W2</f>
        <v>6</v>
      </c>
      <c r="D20" s="122">
        <f ca="1">'Български и история (ЗО нов)'!X2</f>
        <v>7</v>
      </c>
      <c r="E20" s="122">
        <f>'Български и история (ЗО нов)'!Y2</f>
        <v>3</v>
      </c>
      <c r="F20" s="122">
        <f>'Български и история (ЗО нов)'!Z2</f>
        <v>3</v>
      </c>
      <c r="G20" s="122">
        <f>'Български и история (ЗО нов)'!AA2</f>
        <v>4</v>
      </c>
      <c r="H20" s="122">
        <f ca="1">'Български и история (ЗО нов)'!AB2</f>
        <v>41</v>
      </c>
      <c r="I20" s="92"/>
      <c r="J20" s="93"/>
    </row>
    <row r="21" spans="1:10" x14ac:dyDescent="0.2">
      <c r="A21" s="91" t="s">
        <v>537</v>
      </c>
      <c r="B21" s="122">
        <f ca="1">'Български и испански език'!V2</f>
        <v>15</v>
      </c>
      <c r="C21" s="122">
        <f ca="1">'Български и испански език'!W2</f>
        <v>10</v>
      </c>
      <c r="D21" s="122">
        <f ca="1">'Български и испански език'!X2</f>
        <v>4</v>
      </c>
      <c r="E21" s="122">
        <f>'Български и испански език'!Y2</f>
        <v>3</v>
      </c>
      <c r="F21" s="122">
        <f>'Български и испански език'!Z2</f>
        <v>4</v>
      </c>
      <c r="G21" s="122">
        <f>'Български и испански език'!AA2</f>
        <v>4</v>
      </c>
      <c r="H21" s="122">
        <f ca="1">'Български и испански език'!AB2</f>
        <v>40</v>
      </c>
      <c r="I21" s="92"/>
      <c r="J21" s="93"/>
    </row>
    <row r="22" spans="1:10" x14ac:dyDescent="0.2">
      <c r="A22" s="91" t="s">
        <v>538</v>
      </c>
      <c r="B22" s="122">
        <f ca="1">'Български език и турски език'!V2</f>
        <v>12</v>
      </c>
      <c r="C22" s="122">
        <f ca="1">'Български език и турски език'!W2</f>
        <v>10</v>
      </c>
      <c r="D22" s="122">
        <f ca="1">'Български език и турски език'!X2</f>
        <v>4</v>
      </c>
      <c r="E22" s="122">
        <f>'Български език и турски език'!Y2</f>
        <v>0</v>
      </c>
      <c r="F22" s="122">
        <f>'Български език и турски език'!Z2</f>
        <v>4</v>
      </c>
      <c r="G22" s="122">
        <f>'Български език и турски език'!AA2</f>
        <v>4</v>
      </c>
      <c r="H22" s="122">
        <f ca="1">'Български език и турски език'!AB2</f>
        <v>34</v>
      </c>
      <c r="I22" s="92"/>
      <c r="J22" s="93"/>
    </row>
    <row r="23" spans="1:10" ht="13.5" thickBot="1" x14ac:dyDescent="0.25">
      <c r="A23" s="95" t="s">
        <v>539</v>
      </c>
      <c r="B23" s="123">
        <f ca="1">'Български език и китайски език'!V2</f>
        <v>16</v>
      </c>
      <c r="C23" s="123">
        <f ca="1">'Български език и китайски език'!W2</f>
        <v>8</v>
      </c>
      <c r="D23" s="123">
        <f ca="1">'Български език и китайски език'!X2</f>
        <v>4</v>
      </c>
      <c r="E23" s="123">
        <f>'Български език и китайски език'!Y2</f>
        <v>0</v>
      </c>
      <c r="F23" s="123">
        <f>'Български език и китайски език'!Z2</f>
        <v>4</v>
      </c>
      <c r="G23" s="123">
        <f>'Български език и китайски език'!AA2</f>
        <v>4</v>
      </c>
      <c r="H23" s="123">
        <f ca="1">'Български език и китайски език'!AB2</f>
        <v>36</v>
      </c>
      <c r="I23" s="96"/>
      <c r="J23" s="97"/>
    </row>
    <row r="24" spans="1:10" ht="16.5" thickTop="1" x14ac:dyDescent="0.25">
      <c r="A24" s="88"/>
      <c r="B24" s="141" t="s">
        <v>562</v>
      </c>
      <c r="C24" s="141"/>
      <c r="D24" s="141"/>
      <c r="E24" s="141"/>
      <c r="F24" s="141"/>
      <c r="G24" s="141"/>
      <c r="H24" s="141"/>
      <c r="I24" s="141"/>
      <c r="J24" s="142"/>
    </row>
    <row r="25" spans="1:10" x14ac:dyDescent="0.2">
      <c r="A25" s="91"/>
      <c r="B25" s="100" t="s">
        <v>564</v>
      </c>
      <c r="C25" s="100" t="s">
        <v>563</v>
      </c>
      <c r="D25" s="100" t="s">
        <v>565</v>
      </c>
      <c r="E25" s="100" t="s">
        <v>566</v>
      </c>
      <c r="F25" s="100" t="s">
        <v>567</v>
      </c>
      <c r="G25" s="100" t="s">
        <v>608</v>
      </c>
      <c r="H25" s="100" t="s">
        <v>568</v>
      </c>
      <c r="I25" s="100"/>
      <c r="J25" s="101"/>
    </row>
    <row r="26" spans="1:10" x14ac:dyDescent="0.2">
      <c r="A26" s="91" t="s">
        <v>532</v>
      </c>
      <c r="B26" s="122">
        <f>'Български език и руски език'!V4</f>
        <v>11</v>
      </c>
      <c r="C26" s="122">
        <f>'Български език и руски език'!W4</f>
        <v>16</v>
      </c>
      <c r="D26" s="122">
        <f>'Български език и руски език'!X4</f>
        <v>8</v>
      </c>
      <c r="E26" s="122">
        <f>'Български език и руски език'!Y4</f>
        <v>0</v>
      </c>
      <c r="F26" s="122">
        <f>'Български език и руски език'!Z4</f>
        <v>0</v>
      </c>
      <c r="G26" s="122">
        <f>'Български език и руски език'!AA4</f>
        <v>35</v>
      </c>
      <c r="H26" s="92"/>
      <c r="I26" s="92"/>
      <c r="J26" s="93"/>
    </row>
    <row r="27" spans="1:10" x14ac:dyDescent="0.2">
      <c r="A27" s="94" t="s">
        <v>540</v>
      </c>
      <c r="B27" s="122">
        <f>'Български и руски език (ЗО нов)'!V4</f>
        <v>12</v>
      </c>
      <c r="C27" s="122">
        <f>'Български и руски език (ЗО нов)'!W4</f>
        <v>16</v>
      </c>
      <c r="D27" s="122">
        <f>'Български и руски език (ЗО нов)'!X4</f>
        <v>8</v>
      </c>
      <c r="E27" s="122">
        <f>'Български и руски език (ЗО нов)'!Y4</f>
        <v>0</v>
      </c>
      <c r="F27" s="122">
        <f>'Български и руски език (ЗО нов)'!Z4</f>
        <v>0</v>
      </c>
      <c r="G27" s="122">
        <f>'Български и руски език (ЗО нов)'!AA4</f>
        <v>36</v>
      </c>
      <c r="H27" s="92"/>
      <c r="I27" s="92"/>
      <c r="J27" s="93"/>
    </row>
    <row r="28" spans="1:10" x14ac:dyDescent="0.2">
      <c r="A28" s="91" t="s">
        <v>533</v>
      </c>
      <c r="B28" s="122">
        <f>'Български и английски език'!V4</f>
        <v>8</v>
      </c>
      <c r="C28" s="122">
        <f>'Български и английски език'!W4</f>
        <v>22</v>
      </c>
      <c r="D28" s="122">
        <f>'Български и английски език'!X4</f>
        <v>9</v>
      </c>
      <c r="E28" s="122">
        <f>'Български и английски език'!Y4</f>
        <v>0</v>
      </c>
      <c r="F28" s="122">
        <f>'Български и английски език'!Z4</f>
        <v>0</v>
      </c>
      <c r="G28" s="122">
        <f>'Български и английски език'!AA4</f>
        <v>39</v>
      </c>
      <c r="H28" s="92"/>
      <c r="I28" s="92"/>
      <c r="J28" s="93"/>
    </row>
    <row r="29" spans="1:10" x14ac:dyDescent="0.2">
      <c r="A29" s="91" t="s">
        <v>534</v>
      </c>
      <c r="B29" s="122">
        <f>'Български език и новогръцки'!V4</f>
        <v>11</v>
      </c>
      <c r="C29" s="122">
        <f>'Български език и новогръцки'!W4</f>
        <v>21</v>
      </c>
      <c r="D29" s="122">
        <f>'Български език и новогръцки'!X4</f>
        <v>2</v>
      </c>
      <c r="E29" s="122">
        <f>'Български език и новогръцки'!Y4</f>
        <v>1</v>
      </c>
      <c r="F29" s="122">
        <f>'Български език и новогръцки'!Z4</f>
        <v>1</v>
      </c>
      <c r="G29" s="122">
        <f>'Български език и новогръцки'!AA4</f>
        <v>36</v>
      </c>
      <c r="H29" s="92"/>
      <c r="I29" s="92"/>
      <c r="J29" s="93"/>
    </row>
    <row r="30" spans="1:10" x14ac:dyDescent="0.2">
      <c r="A30" s="91" t="s">
        <v>535</v>
      </c>
      <c r="B30" s="122">
        <f>'Български език и италиански'!V4</f>
        <v>5</v>
      </c>
      <c r="C30" s="122">
        <f>'Български език и италиански'!W4</f>
        <v>21</v>
      </c>
      <c r="D30" s="122">
        <f>'Български език и италиански'!X4</f>
        <v>15</v>
      </c>
      <c r="E30" s="122">
        <f>'Български език и италиански'!Y4</f>
        <v>1</v>
      </c>
      <c r="F30" s="122">
        <f>'Български език и италиански'!Z4</f>
        <v>1</v>
      </c>
      <c r="G30" s="122">
        <f>'Български език и италиански'!AA4</f>
        <v>43</v>
      </c>
      <c r="H30" s="92"/>
      <c r="I30" s="92"/>
      <c r="J30" s="93"/>
    </row>
    <row r="31" spans="1:10" x14ac:dyDescent="0.2">
      <c r="A31" s="91" t="s">
        <v>536</v>
      </c>
      <c r="B31" s="122">
        <f>'Български език и история'!V4</f>
        <v>6</v>
      </c>
      <c r="C31" s="122">
        <f>'Български език и история'!W4</f>
        <v>24</v>
      </c>
      <c r="D31" s="122">
        <f>'Български език и история'!X4</f>
        <v>14</v>
      </c>
      <c r="E31" s="122">
        <f>'Български език и история'!Y4</f>
        <v>0</v>
      </c>
      <c r="F31" s="122">
        <f>'Български език и история'!Z4</f>
        <v>0</v>
      </c>
      <c r="G31" s="122">
        <f>'Български език и история'!AA4</f>
        <v>44</v>
      </c>
      <c r="H31" s="92"/>
      <c r="I31" s="92"/>
      <c r="J31" s="93"/>
    </row>
    <row r="32" spans="1:10" x14ac:dyDescent="0.2">
      <c r="A32" s="94" t="s">
        <v>541</v>
      </c>
      <c r="B32" s="122">
        <f>'Български и история (ЗО нов)'!V4</f>
        <v>7</v>
      </c>
      <c r="C32" s="122">
        <f>'Български и история (ЗО нов)'!W4</f>
        <v>26</v>
      </c>
      <c r="D32" s="122">
        <f>'Български и история (ЗО нов)'!X4</f>
        <v>12</v>
      </c>
      <c r="E32" s="122">
        <f>'Български и история (ЗО нов)'!Y4</f>
        <v>1</v>
      </c>
      <c r="F32" s="122">
        <f>'Български и история (ЗО нов)'!Z4</f>
        <v>0</v>
      </c>
      <c r="G32" s="122">
        <f>'Български и история (ЗО нов)'!AA4</f>
        <v>46</v>
      </c>
      <c r="H32" s="92"/>
      <c r="I32" s="92"/>
      <c r="J32" s="93"/>
    </row>
    <row r="33" spans="1:10" x14ac:dyDescent="0.2">
      <c r="A33" s="91" t="s">
        <v>537</v>
      </c>
      <c r="B33" s="122">
        <f>'Български и испански език'!V4</f>
        <v>7</v>
      </c>
      <c r="C33" s="122">
        <f>'Български и испански език'!W4</f>
        <v>22</v>
      </c>
      <c r="D33" s="122">
        <f>'Български и испански език'!X4</f>
        <v>6</v>
      </c>
      <c r="E33" s="122">
        <f>'Български и испански език'!Y4</f>
        <v>1</v>
      </c>
      <c r="F33" s="122">
        <f>'Български и испански език'!Z4</f>
        <v>1</v>
      </c>
      <c r="G33" s="122">
        <f>'Български и испански език'!AA4</f>
        <v>37</v>
      </c>
      <c r="H33" s="92"/>
      <c r="I33" s="92"/>
      <c r="J33" s="93"/>
    </row>
    <row r="34" spans="1:10" x14ac:dyDescent="0.2">
      <c r="A34" s="91" t="s">
        <v>538</v>
      </c>
      <c r="B34" s="122">
        <f>'Български език и турски език'!V4</f>
        <v>10</v>
      </c>
      <c r="C34" s="122">
        <f>'Български език и турски език'!W4</f>
        <v>29</v>
      </c>
      <c r="D34" s="122">
        <f>'Български език и турски език'!X4</f>
        <v>2</v>
      </c>
      <c r="E34" s="122">
        <f>'Български език и турски език'!Y4</f>
        <v>0</v>
      </c>
      <c r="F34" s="122">
        <f>'Български език и турски език'!Z4</f>
        <v>0</v>
      </c>
      <c r="G34" s="122">
        <f>'Български език и турски език'!AA4</f>
        <v>41</v>
      </c>
      <c r="H34" s="92"/>
      <c r="I34" s="92"/>
      <c r="J34" s="93"/>
    </row>
    <row r="35" spans="1:10" ht="13.5" thickBot="1" x14ac:dyDescent="0.25">
      <c r="A35" s="95" t="s">
        <v>539</v>
      </c>
      <c r="B35" s="123">
        <f>'Български език и китайски език'!V4</f>
        <v>6</v>
      </c>
      <c r="C35" s="123">
        <f>'Български език и китайски език'!W4</f>
        <v>22</v>
      </c>
      <c r="D35" s="123">
        <f>'Български език и китайски език'!X4</f>
        <v>1</v>
      </c>
      <c r="E35" s="123">
        <f>'Български език и китайски език'!Y4</f>
        <v>1</v>
      </c>
      <c r="F35" s="123">
        <f>'Български език и китайски език'!Z4</f>
        <v>11</v>
      </c>
      <c r="G35" s="123">
        <f>'Български език и китайски език'!AA4</f>
        <v>41</v>
      </c>
      <c r="H35" s="96"/>
      <c r="I35" s="96"/>
      <c r="J35" s="97"/>
    </row>
    <row r="36" spans="1:10" ht="14.25" thickTop="1" thickBot="1" x14ac:dyDescent="0.25"/>
    <row r="37" spans="1:10" ht="13.5" thickTop="1" x14ac:dyDescent="0.2">
      <c r="A37" s="88"/>
      <c r="B37" s="102" t="s">
        <v>569</v>
      </c>
      <c r="C37" s="102" t="s">
        <v>570</v>
      </c>
      <c r="D37" s="102" t="s">
        <v>571</v>
      </c>
      <c r="E37" s="102" t="s">
        <v>572</v>
      </c>
      <c r="F37" s="102"/>
      <c r="G37" s="102"/>
      <c r="H37" s="102"/>
      <c r="I37" s="102"/>
      <c r="J37" s="103"/>
    </row>
    <row r="38" spans="1:10" x14ac:dyDescent="0.2">
      <c r="A38" s="91" t="s">
        <v>532</v>
      </c>
      <c r="B38" s="92"/>
      <c r="C38" s="92"/>
      <c r="D38" s="92"/>
      <c r="E38" s="92"/>
      <c r="F38" s="92"/>
      <c r="G38" s="92"/>
      <c r="H38" s="92"/>
      <c r="I38" s="92"/>
      <c r="J38" s="93"/>
    </row>
    <row r="39" spans="1:10" x14ac:dyDescent="0.2">
      <c r="A39" s="94" t="s">
        <v>540</v>
      </c>
      <c r="B39" s="92"/>
      <c r="C39" s="92"/>
      <c r="D39" s="92"/>
      <c r="E39" s="92"/>
      <c r="F39" s="92"/>
      <c r="G39" s="92"/>
      <c r="H39" s="92"/>
      <c r="I39" s="92"/>
      <c r="J39" s="93"/>
    </row>
    <row r="40" spans="1:10" x14ac:dyDescent="0.2">
      <c r="A40" s="91" t="s">
        <v>533</v>
      </c>
      <c r="B40" s="92"/>
      <c r="C40" s="92"/>
      <c r="D40" s="92"/>
      <c r="E40" s="92"/>
      <c r="F40" s="92"/>
      <c r="G40" s="92"/>
      <c r="H40" s="92"/>
      <c r="I40" s="92"/>
      <c r="J40" s="93"/>
    </row>
    <row r="41" spans="1:10" x14ac:dyDescent="0.2">
      <c r="A41" s="91" t="s">
        <v>534</v>
      </c>
      <c r="B41" s="92"/>
      <c r="C41" s="92"/>
      <c r="D41" s="92"/>
      <c r="E41" s="92"/>
      <c r="F41" s="92"/>
      <c r="G41" s="92"/>
      <c r="H41" s="92"/>
      <c r="I41" s="92"/>
      <c r="J41" s="93"/>
    </row>
    <row r="42" spans="1:10" x14ac:dyDescent="0.2">
      <c r="A42" s="91" t="s">
        <v>535</v>
      </c>
      <c r="B42" s="92"/>
      <c r="C42" s="92"/>
      <c r="D42" s="92"/>
      <c r="E42" s="92"/>
      <c r="F42" s="92"/>
      <c r="G42" s="92"/>
      <c r="H42" s="92"/>
      <c r="I42" s="92"/>
      <c r="J42" s="93"/>
    </row>
    <row r="43" spans="1:10" x14ac:dyDescent="0.2">
      <c r="A43" s="91" t="s">
        <v>536</v>
      </c>
      <c r="B43" s="92"/>
      <c r="C43" s="92"/>
      <c r="D43" s="92"/>
      <c r="E43" s="92"/>
      <c r="F43" s="92"/>
      <c r="G43" s="92"/>
      <c r="H43" s="92"/>
      <c r="I43" s="92"/>
      <c r="J43" s="93"/>
    </row>
    <row r="44" spans="1:10" x14ac:dyDescent="0.2">
      <c r="A44" s="94" t="s">
        <v>541</v>
      </c>
      <c r="B44" s="92"/>
      <c r="C44" s="92"/>
      <c r="D44" s="92"/>
      <c r="E44" s="92"/>
      <c r="F44" s="92"/>
      <c r="G44" s="92"/>
      <c r="H44" s="92"/>
      <c r="I44" s="92"/>
      <c r="J44" s="93"/>
    </row>
    <row r="45" spans="1:10" x14ac:dyDescent="0.2">
      <c r="A45" s="91" t="s">
        <v>537</v>
      </c>
      <c r="B45" s="92"/>
      <c r="C45" s="92"/>
      <c r="D45" s="92"/>
      <c r="E45" s="92"/>
      <c r="F45" s="92"/>
      <c r="G45" s="92"/>
      <c r="H45" s="92"/>
      <c r="I45" s="92"/>
      <c r="J45" s="93"/>
    </row>
    <row r="46" spans="1:10" x14ac:dyDescent="0.2">
      <c r="A46" s="91" t="s">
        <v>538</v>
      </c>
      <c r="B46" s="92"/>
      <c r="C46" s="92"/>
      <c r="D46" s="92"/>
      <c r="E46" s="92"/>
      <c r="F46" s="92"/>
      <c r="G46" s="92"/>
      <c r="H46" s="92"/>
      <c r="I46" s="92"/>
      <c r="J46" s="93"/>
    </row>
    <row r="47" spans="1:10" ht="13.5" thickBot="1" x14ac:dyDescent="0.25">
      <c r="A47" s="95" t="s">
        <v>539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ht="13.5" thickTop="1" x14ac:dyDescent="0.2"/>
  </sheetData>
  <mergeCells count="2">
    <mergeCell ref="B12:J12"/>
    <mergeCell ref="B24:J24"/>
  </mergeCells>
  <conditionalFormatting sqref="C2:C11">
    <cfRule type="cellIs" dxfId="107" priority="11" operator="lessThan">
      <formula>0.7</formula>
    </cfRule>
  </conditionalFormatting>
  <conditionalFormatting sqref="D2:D11">
    <cfRule type="cellIs" dxfId="106" priority="10" operator="greaterThanOrEqual">
      <formula>55</formula>
    </cfRule>
  </conditionalFormatting>
  <conditionalFormatting sqref="E2:E11">
    <cfRule type="cellIs" dxfId="105" priority="8" operator="greaterThanOrEqual">
      <formula>55</formula>
    </cfRule>
  </conditionalFormatting>
  <conditionalFormatting sqref="B14:C23">
    <cfRule type="cellIs" dxfId="104" priority="7" operator="greaterThanOrEqual">
      <formula>55</formula>
    </cfRule>
  </conditionalFormatting>
  <conditionalFormatting sqref="D14:D23">
    <cfRule type="cellIs" dxfId="103" priority="6" operator="greaterThanOrEqual">
      <formula>55</formula>
    </cfRule>
  </conditionalFormatting>
  <conditionalFormatting sqref="E14:E23">
    <cfRule type="cellIs" dxfId="102" priority="5" operator="greaterThanOrEqual">
      <formula>55</formula>
    </cfRule>
  </conditionalFormatting>
  <conditionalFormatting sqref="F14:F23">
    <cfRule type="cellIs" dxfId="101" priority="4" operator="greaterThanOrEqual">
      <formula>55</formula>
    </cfRule>
  </conditionalFormatting>
  <conditionalFormatting sqref="G14:G23">
    <cfRule type="cellIs" dxfId="100" priority="3" operator="greaterThanOrEqual">
      <formula>55</formula>
    </cfRule>
  </conditionalFormatting>
  <conditionalFormatting sqref="H14:H23">
    <cfRule type="cellIs" dxfId="99" priority="2" operator="greaterThanOrEqual">
      <formula>55</formula>
    </cfRule>
  </conditionalFormatting>
  <conditionalFormatting sqref="B26:G35">
    <cfRule type="cellIs" dxfId="98" priority="1" operator="greaterThanOrEqual">
      <formula>55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view="pageBreakPreview" zoomScale="80" zoomScaleNormal="100" zoomScaleSheetLayoutView="80" workbookViewId="0">
      <selection activeCell="E6" sqref="E6"/>
    </sheetView>
  </sheetViews>
  <sheetFormatPr defaultRowHeight="15" x14ac:dyDescent="0.25"/>
  <cols>
    <col min="1" max="1" width="27" style="124" customWidth="1"/>
    <col min="2" max="6" width="14.5703125" style="124" customWidth="1"/>
    <col min="7" max="7" width="12.140625" style="124" customWidth="1"/>
    <col min="8" max="16384" width="9.140625" style="124"/>
  </cols>
  <sheetData>
    <row r="1" spans="1:7" ht="31.5" customHeight="1" thickTop="1" x14ac:dyDescent="0.25">
      <c r="A1" s="143" t="s">
        <v>615</v>
      </c>
      <c r="B1" s="144"/>
      <c r="C1" s="144"/>
      <c r="D1" s="144"/>
      <c r="E1" s="144"/>
      <c r="F1" s="144"/>
      <c r="G1" s="145"/>
    </row>
    <row r="2" spans="1:7" ht="31.5" customHeight="1" x14ac:dyDescent="0.25">
      <c r="A2" s="125" t="s">
        <v>547</v>
      </c>
      <c r="B2" s="126" t="s">
        <v>616</v>
      </c>
      <c r="C2" s="127" t="s">
        <v>617</v>
      </c>
      <c r="D2" s="127" t="s">
        <v>618</v>
      </c>
      <c r="E2" s="127" t="s">
        <v>619</v>
      </c>
      <c r="F2" s="127" t="s">
        <v>620</v>
      </c>
      <c r="G2" s="128" t="s">
        <v>608</v>
      </c>
    </row>
    <row r="3" spans="1:7" ht="31.5" customHeight="1" x14ac:dyDescent="0.25">
      <c r="A3" s="129" t="s">
        <v>621</v>
      </c>
      <c r="B3" s="130" t="e">
        <f>COUNTIFS('[5]2012 личен състав ОТД'!C:C,"проф.",'[5]2012 личен състав ОТД'!O:O,"&gt;24",'[5]2012 личен състав ОТД'!O:O,"&lt;36")</f>
        <v>#VALUE!</v>
      </c>
      <c r="C3" s="130" t="e">
        <f>COUNTIFS('[5]2012 личен състав ОТД'!C:C,"доц.",'[5]2012 личен състав ОТД'!O:O,"&gt;24",'[5]2012 личен състав ОТД'!O:O,"&lt;36")</f>
        <v>#VALUE!</v>
      </c>
      <c r="D3" s="130" t="e">
        <f>COUNTIFS('[5]2012 личен състав ОТД'!C:C,"гл. ас.",'[5]2012 личен състав ОТД'!D:D,"д-р",'[5]2012 личен състав ОТД'!O:O,"&gt;24",'[5]2012 личен състав ОТД'!O:O,"&lt;36")</f>
        <v>#VALUE!</v>
      </c>
      <c r="E3" s="130" t="e">
        <f>COUNTIFS('[5]2012 личен състав ОТД'!C:C,"гл. ас.",'[5]2012 личен състав ОТД'!D:D,"",'[5]2012 личен състав ОТД'!O:O,"&gt;24",'[5]2012 личен състав ОТД'!O:O,"&lt;36")</f>
        <v>#VALUE!</v>
      </c>
      <c r="F3" s="130" t="e">
        <f>COUNTIFS('[5]2012 личен състав ОТД'!C:C,"ас.",'[5]2012 личен състав ОТД'!O:O,"&gt;24",'[5]2012 личен състав ОТД'!O:O,"&lt;36")</f>
        <v>#VALUE!</v>
      </c>
      <c r="G3" s="131" t="e">
        <f>SUM(B3:F3)</f>
        <v>#VALUE!</v>
      </c>
    </row>
    <row r="4" spans="1:7" ht="31.5" customHeight="1" x14ac:dyDescent="0.25">
      <c r="A4" s="129" t="s">
        <v>622</v>
      </c>
      <c r="B4" s="130" t="e">
        <f>COUNTIFS('[5]2012 личен състав ОТД'!C:C,"проф.",'[5]2012 личен състав ОТД'!O:O,"&gt;35",'[5]2012 личен състав ОТД'!O:O,"&lt;46")</f>
        <v>#VALUE!</v>
      </c>
      <c r="C4" s="130" t="e">
        <f>COUNTIFS('[5]2012 личен състав ОТД'!C:C,"доц.",'[5]2012 личен състав ОТД'!O:O,"&gt;35",'[5]2012 личен състав ОТД'!O:O,"&lt;46")</f>
        <v>#VALUE!</v>
      </c>
      <c r="D4" s="130" t="e">
        <f>COUNTIFS('[5]2012 личен състав ОТД'!C:C,"гл. ас.",'[5]2012 личен състав ОТД'!D:D,"д-р",'[5]2012 личен състав ОТД'!O:O,"&gt;35",'[5]2012 личен състав ОТД'!O:O,"&lt;46")</f>
        <v>#VALUE!</v>
      </c>
      <c r="E4" s="130" t="e">
        <f>COUNTIFS('[5]2012 личен състав ОТД'!C:C,"гл. ас.",'[5]2012 личен състав ОТД'!D:D,"",'[5]2012 личен състав ОТД'!O:O,"&gt;35",'[5]2012 личен състав ОТД'!O:O,"&lt;46")</f>
        <v>#VALUE!</v>
      </c>
      <c r="F4" s="130" t="e">
        <f>COUNTIFS('[5]2012 личен състав ОТД'!C:C,"ас.",'[5]2012 личен състав ОТД'!O:O,"&gt;35",'[5]2012 личен състав ОТД'!O:O,"&lt;46")</f>
        <v>#VALUE!</v>
      </c>
      <c r="G4" s="131" t="e">
        <f>SUM(B4:F4)</f>
        <v>#VALUE!</v>
      </c>
    </row>
    <row r="5" spans="1:7" ht="31.5" customHeight="1" x14ac:dyDescent="0.25">
      <c r="A5" s="129" t="s">
        <v>623</v>
      </c>
      <c r="B5" s="130" t="e">
        <f>COUNTIFS('[5]2012 личен състав ОТД'!C:C,"проф.",'[5]2012 личен състав ОТД'!O:O,"&gt;45",'[5]2012 личен състав ОТД'!O:O,"&lt;56")</f>
        <v>#VALUE!</v>
      </c>
      <c r="C5" s="130" t="e">
        <f>COUNTIFS('[5]2012 личен състав ОТД'!C:C,"доц.",'[5]2012 личен състав ОТД'!O:O,"&gt;45",'[5]2012 личен състав ОТД'!O:O,"&lt;56")</f>
        <v>#VALUE!</v>
      </c>
      <c r="D5" s="130" t="e">
        <f>COUNTIFS('[5]2012 личен състав ОТД'!C:C,"гл. ас.",'[5]2012 личен състав ОТД'!D:D,"д-р",'[5]2012 личен състав ОТД'!O:O,"&gt;45",'[5]2012 личен състав ОТД'!O:O,"&lt;56")</f>
        <v>#VALUE!</v>
      </c>
      <c r="E5" s="130" t="e">
        <f>COUNTIFS('[5]2012 личен състав ОТД'!C:C,"гл. ас.",'[5]2012 личен състав ОТД'!D:D,"",'[5]2012 личен състав ОТД'!O:O,"&gt;45",'[5]2012 личен състав ОТД'!O:O,"&lt;56")</f>
        <v>#VALUE!</v>
      </c>
      <c r="F5" s="130" t="e">
        <f>COUNTIFS('[5]2012 личен състав ОТД'!C:C,"ас.",'[5]2012 личен състав ОТД'!O:O,"&gt;45",'[5]2012 личен състав ОТД'!O:O,"&lt;56")</f>
        <v>#VALUE!</v>
      </c>
      <c r="G5" s="131" t="e">
        <f>SUM(B5:F5)</f>
        <v>#VALUE!</v>
      </c>
    </row>
    <row r="6" spans="1:7" ht="31.5" customHeight="1" x14ac:dyDescent="0.25">
      <c r="A6" s="129" t="s">
        <v>624</v>
      </c>
      <c r="B6" s="130" t="e">
        <f>COUNTIFS('[5]2012 личен състав ОТД'!C:C,"проф.",'[5]2012 личен състав ОТД'!O:O,"&gt;55")</f>
        <v>#VALUE!</v>
      </c>
      <c r="C6" s="130" t="e">
        <f>COUNTIFS('[5]2012 личен състав ОТД'!C:C,"доц.",'[5]2012 личен състав ОТД'!O:O,"&gt;55")</f>
        <v>#VALUE!</v>
      </c>
      <c r="D6" s="130" t="e">
        <f>COUNTIFS('[5]2012 личен състав ОТД'!C:C,"гл. ас.",'[5]2012 личен състав ОТД'!D:D,"д-р",'[5]2012 личен състав ОТД'!O:O,"&gt;55")</f>
        <v>#VALUE!</v>
      </c>
      <c r="E6" s="130" t="e">
        <f>COUNTIFS('[5]2012 личен състав ОТД'!C:C,"гл. ас.",'[5]2012 личен състав ОТД'!D:D,"",'[5]2012 личен състав ОТД'!O:O,"&gt;55")</f>
        <v>#VALUE!</v>
      </c>
      <c r="F6" s="130" t="e">
        <f>COUNTIFS('[5]2012 личен състав ОТД'!C:C,"ас.",'[5]2012 личен състав ОТД'!O:O,"&gt;55")</f>
        <v>#VALUE!</v>
      </c>
      <c r="G6" s="131" t="e">
        <f>SUM(B6:F6)</f>
        <v>#VALUE!</v>
      </c>
    </row>
    <row r="7" spans="1:7" ht="31.5" customHeight="1" thickBot="1" x14ac:dyDescent="0.3">
      <c r="A7" s="132"/>
      <c r="B7" s="130" t="e">
        <f t="shared" ref="B7:G7" si="0">SUM(B3:B6)</f>
        <v>#VALUE!</v>
      </c>
      <c r="C7" s="130" t="e">
        <f t="shared" si="0"/>
        <v>#VALUE!</v>
      </c>
      <c r="D7" s="130" t="e">
        <f t="shared" si="0"/>
        <v>#VALUE!</v>
      </c>
      <c r="E7" s="130" t="e">
        <f t="shared" si="0"/>
        <v>#VALUE!</v>
      </c>
      <c r="F7" s="130" t="e">
        <f t="shared" si="0"/>
        <v>#VALUE!</v>
      </c>
      <c r="G7" s="131" t="e">
        <f t="shared" si="0"/>
        <v>#VALUE!</v>
      </c>
    </row>
    <row r="8" spans="1:7" ht="31.5" customHeight="1" thickTop="1" x14ac:dyDescent="0.25">
      <c r="A8" s="146" t="s">
        <v>625</v>
      </c>
      <c r="B8" s="147"/>
      <c r="C8" s="147"/>
      <c r="D8" s="147"/>
      <c r="E8" s="147"/>
      <c r="F8" s="147"/>
      <c r="G8" s="148"/>
    </row>
    <row r="9" spans="1:7" ht="31.5" customHeight="1" x14ac:dyDescent="0.25">
      <c r="A9" s="125" t="s">
        <v>547</v>
      </c>
      <c r="B9" s="126" t="s">
        <v>616</v>
      </c>
      <c r="C9" s="127" t="s">
        <v>617</v>
      </c>
      <c r="D9" s="127" t="s">
        <v>619</v>
      </c>
      <c r="E9" s="133" t="s">
        <v>608</v>
      </c>
      <c r="F9" s="134"/>
      <c r="G9" s="135"/>
    </row>
    <row r="10" spans="1:7" ht="31.5" customHeight="1" x14ac:dyDescent="0.25">
      <c r="A10" s="129" t="s">
        <v>621</v>
      </c>
      <c r="B10" s="130" t="e">
        <f>COUNTIFS('[5]2012 личен състав ОТД'!C:C,"проф.",'[5]2012 личен състав ОТД'!D:D,"д-р",'[5]2012 личен състав ОТД'!O:O,"&gt;24",'[5]2012 личен състав ОТД'!O:O,"&lt;36")</f>
        <v>#VALUE!</v>
      </c>
      <c r="C10" s="130" t="e">
        <f>COUNTIFS('[5]2012 личен състав ОТД'!C:C,"доц.",'[5]2012 личен състав ОТД'!D:D,"д-р",'[5]2012 личен състав ОТД'!O:O,"&gt;24",'[5]2012 личен състав ОТД'!O:O,"&lt;36")</f>
        <v>#VALUE!</v>
      </c>
      <c r="D10" s="130" t="e">
        <f>COUNTIFS('[5]2012 личен състав ОТД'!C:C,"гл. ас.",'[5]2012 личен състав ОТД'!D:D,"д-р",'[5]2012 личен състав ОТД'!O:O,"&gt;24",'[5]2012 личен състав ОТД'!O:O,"&lt;36")</f>
        <v>#VALUE!</v>
      </c>
      <c r="E10" s="130" t="e">
        <f>SUM(B10:D10)</f>
        <v>#VALUE!</v>
      </c>
      <c r="F10" s="134"/>
      <c r="G10" s="135"/>
    </row>
    <row r="11" spans="1:7" ht="31.5" customHeight="1" x14ac:dyDescent="0.25">
      <c r="A11" s="129" t="s">
        <v>622</v>
      </c>
      <c r="B11" s="130" t="e">
        <f>COUNTIFS('[5]2012 личен състав ОТД'!C:C,"проф.",'[5]2012 личен състав ОТД'!D:D,"д-р",'[5]2012 личен състав ОТД'!O:O,"&gt;35",'[5]2012 личен състав ОТД'!O:O,"&lt;46")</f>
        <v>#VALUE!</v>
      </c>
      <c r="C11" s="130" t="e">
        <f>COUNTIFS('[5]2012 личен състав ОТД'!C:C,"доц.",'[5]2012 личен състав ОТД'!D:D,"д-р",'[5]2012 личен състав ОТД'!O:O,"&gt;35",'[5]2012 личен състав ОТД'!O:O,"&lt;46")</f>
        <v>#VALUE!</v>
      </c>
      <c r="D11" s="130" t="e">
        <f>COUNTIFS('[5]2012 личен състав ОТД'!C:C,"гл. ас.",'[5]2012 личен състав ОТД'!D:D,"д-р",'[5]2012 личен състав ОТД'!O:O,"&gt;35",'[5]2012 личен състав ОТД'!O:O,"&lt;46")</f>
        <v>#VALUE!</v>
      </c>
      <c r="E11" s="130" t="e">
        <f>SUM(B11:D11)</f>
        <v>#VALUE!</v>
      </c>
      <c r="F11" s="134"/>
      <c r="G11" s="135"/>
    </row>
    <row r="12" spans="1:7" ht="31.5" customHeight="1" x14ac:dyDescent="0.25">
      <c r="A12" s="129" t="s">
        <v>623</v>
      </c>
      <c r="B12" s="130" t="e">
        <f>COUNTIFS('[5]2012 личен състав ОТД'!C:C,"проф.",'[5]2012 личен състав ОТД'!D:D,"д-р",'[5]2012 личен състав ОТД'!O:O,"&gt;45",'[5]2012 личен състав ОТД'!O:O,"&lt;56")</f>
        <v>#VALUE!</v>
      </c>
      <c r="C12" s="130" t="e">
        <f>COUNTIFS('[5]2012 личен състав ОТД'!C:C,"доц.",'[5]2012 личен състав ОТД'!D:D,"д-р",'[5]2012 личен състав ОТД'!O:O,"&gt;45",'[5]2012 личен състав ОТД'!O:O,"&lt;56")</f>
        <v>#VALUE!</v>
      </c>
      <c r="D12" s="130" t="e">
        <f>COUNTIFS('[5]2012 личен състав ОТД'!C:C,"гл. ас.",'[5]2012 личен състав ОТД'!D:D,"д-р",'[5]2012 личен състав ОТД'!O:O,"&gt;45",'[5]2012 личен състав ОТД'!O:O,"&lt;56")</f>
        <v>#VALUE!</v>
      </c>
      <c r="E12" s="130" t="e">
        <f>SUM(B12:D12)</f>
        <v>#VALUE!</v>
      </c>
      <c r="F12" s="134"/>
      <c r="G12" s="135"/>
    </row>
    <row r="13" spans="1:7" ht="31.5" customHeight="1" x14ac:dyDescent="0.25">
      <c r="A13" s="129" t="s">
        <v>624</v>
      </c>
      <c r="B13" s="130" t="e">
        <f>COUNTIFS('[5]2012 личен състав ОТД'!C:C,"проф.",'[5]2012 личен състав ОТД'!D:D,"д-р",'[5]2012 личен състав ОТД'!O:O,"&gt;55")</f>
        <v>#VALUE!</v>
      </c>
      <c r="C13" s="130" t="e">
        <f>COUNTIFS('[5]2012 личен състав ОТД'!C:C,"доц.",'[5]2012 личен състав ОТД'!D:D,"д-р",'[5]2012 личен състав ОТД'!O:O,"&gt;55")</f>
        <v>#VALUE!</v>
      </c>
      <c r="D13" s="130" t="e">
        <f>COUNTIFS('[5]2012 личен състав ОТД'!C:C,"гл. ас.",'[5]2012 личен състав ОТД'!D:D,"д-р",'[5]2012 личен състав ОТД'!O:O,"&gt;55")</f>
        <v>#VALUE!</v>
      </c>
      <c r="E13" s="130" t="e">
        <f>SUM(B13:D13)</f>
        <v>#VALUE!</v>
      </c>
      <c r="F13" s="134"/>
      <c r="G13" s="135"/>
    </row>
    <row r="14" spans="1:7" ht="31.5" customHeight="1" x14ac:dyDescent="0.25">
      <c r="A14" s="132"/>
      <c r="B14" s="130" t="e">
        <f>SUM(B10:B13)</f>
        <v>#VALUE!</v>
      </c>
      <c r="C14" s="130" t="e">
        <f>SUM(C10:C13)</f>
        <v>#VALUE!</v>
      </c>
      <c r="D14" s="130" t="e">
        <f>SUM(D10:D13)</f>
        <v>#VALUE!</v>
      </c>
      <c r="E14" s="130" t="e">
        <f>SUM(E10:E13)</f>
        <v>#VALUE!</v>
      </c>
      <c r="F14" s="134"/>
      <c r="G14" s="135"/>
    </row>
    <row r="15" spans="1:7" ht="31.5" customHeight="1" x14ac:dyDescent="0.25">
      <c r="A15" s="149" t="s">
        <v>626</v>
      </c>
      <c r="B15" s="150"/>
      <c r="C15" s="150"/>
      <c r="D15" s="150"/>
      <c r="E15" s="150"/>
      <c r="F15" s="150"/>
      <c r="G15" s="151"/>
    </row>
    <row r="16" spans="1:7" ht="31.5" customHeight="1" x14ac:dyDescent="0.25">
      <c r="A16" s="125" t="s">
        <v>547</v>
      </c>
      <c r="B16" s="126" t="s">
        <v>616</v>
      </c>
      <c r="C16" s="127" t="s">
        <v>617</v>
      </c>
      <c r="D16" s="127" t="s">
        <v>619</v>
      </c>
      <c r="E16" s="127" t="s">
        <v>620</v>
      </c>
      <c r="F16" s="133" t="s">
        <v>608</v>
      </c>
      <c r="G16" s="135"/>
    </row>
    <row r="17" spans="1:7" ht="31.5" customHeight="1" x14ac:dyDescent="0.25">
      <c r="A17" s="129" t="s">
        <v>621</v>
      </c>
      <c r="B17" s="130" t="e">
        <f>COUNTIFS('[5]2012 личен състав ОТД'!C:C,"проф.",'[5]2012 личен състав ОТД'!D:D,"",'[5]2012 личен състав ОТД'!O:O,"&gt;24",'[5]2012 личен състав ОТД'!O:O,"&lt;36")</f>
        <v>#VALUE!</v>
      </c>
      <c r="C17" s="130" t="e">
        <f>COUNTIFS('[5]2012 личен състав ОТД'!C:C,"доц.",'[5]2012 личен състав ОТД'!D:D,"",'[5]2012 личен състав ОТД'!O:O,"&gt;24",'[5]2012 личен състав ОТД'!O:O,"&lt;36")</f>
        <v>#VALUE!</v>
      </c>
      <c r="D17" s="130" t="e">
        <f>COUNTIFS('[5]2012 личен състав ОТД'!C:C,"гл. ас.",'[5]2012 личен състав ОТД'!D:D,"",'[5]2012 личен състав ОТД'!O:O,"&gt;24",'[5]2012 личен състав ОТД'!O:O,"&lt;36")</f>
        <v>#VALUE!</v>
      </c>
      <c r="E17" s="130" t="e">
        <f>COUNTIFS('[5]2012 личен състав ОТД'!C:C,"ас.",'[5]2012 личен състав ОТД'!D:D,"",'[5]2012 личен състав ОТД'!O:O,"&gt;24",'[5]2012 личен състав ОТД'!O:O,"&lt;36")</f>
        <v>#VALUE!</v>
      </c>
      <c r="F17" s="130" t="e">
        <f>SUM(B17:E17)</f>
        <v>#VALUE!</v>
      </c>
      <c r="G17" s="135"/>
    </row>
    <row r="18" spans="1:7" ht="31.5" customHeight="1" x14ac:dyDescent="0.25">
      <c r="A18" s="129" t="s">
        <v>622</v>
      </c>
      <c r="B18" s="130" t="e">
        <f>COUNTIFS('[5]2012 личен състав ОТД'!C:C,"проф.",'[5]2012 личен състав ОТД'!D:D,"",'[5]2012 личен състав ОТД'!O:O,"&gt;35",'[5]2012 личен състав ОТД'!O:O,"&lt;46")</f>
        <v>#VALUE!</v>
      </c>
      <c r="C18" s="130" t="e">
        <f>COUNTIFS('[5]2012 личен състав ОТД'!C:C,"доц.",'[5]2012 личен състав ОТД'!D:D,"",'[5]2012 личен състав ОТД'!O:O,"&gt;35",'[5]2012 личен състав ОТД'!O:O,"&lt;46")</f>
        <v>#VALUE!</v>
      </c>
      <c r="D18" s="130" t="e">
        <f>COUNTIFS('[5]2012 личен състав ОТД'!C:C,"гл. ас.",'[5]2012 личен състав ОТД'!D:D,"",'[5]2012 личен състав ОТД'!O:O,"&gt;35",'[5]2012 личен състав ОТД'!O:O,"&lt;46")</f>
        <v>#VALUE!</v>
      </c>
      <c r="E18" s="130" t="e">
        <f>COUNTIFS('[5]2012 личен състав ОТД'!C:C,"ас.",'[5]2012 личен състав ОТД'!D:D,"",'[5]2012 личен състав ОТД'!O:O,"&gt;35",'[5]2012 личен състав ОТД'!O:O,"&lt;46")</f>
        <v>#VALUE!</v>
      </c>
      <c r="F18" s="130" t="e">
        <f>SUM(B18:E18)</f>
        <v>#VALUE!</v>
      </c>
      <c r="G18" s="135"/>
    </row>
    <row r="19" spans="1:7" ht="31.5" customHeight="1" x14ac:dyDescent="0.25">
      <c r="A19" s="129" t="s">
        <v>623</v>
      </c>
      <c r="B19" s="130" t="e">
        <f>COUNTIFS('[5]2012 личен състав ОТД'!C:C,"проф.",'[5]2012 личен състав ОТД'!D:D,"",'[5]2012 личен състав ОТД'!O:O,"&gt;45",'[5]2012 личен състав ОТД'!O:O,"&lt;56")</f>
        <v>#VALUE!</v>
      </c>
      <c r="C19" s="130" t="e">
        <f>COUNTIFS('[5]2012 личен състав ОТД'!C:C,"доц.",'[5]2012 личен състав ОТД'!D:D,"",'[5]2012 личен състав ОТД'!O:O,"&gt;45",'[5]2012 личен състав ОТД'!O:O,"&lt;56")</f>
        <v>#VALUE!</v>
      </c>
      <c r="D19" s="130" t="e">
        <f>COUNTIFS('[5]2012 личен състав ОТД'!C:C,"гл. ас.",'[5]2012 личен състав ОТД'!D:D,"",'[5]2012 личен състав ОТД'!O:O,"&gt;45",'[5]2012 личен състав ОТД'!O:O,"&lt;56")</f>
        <v>#VALUE!</v>
      </c>
      <c r="E19" s="130" t="e">
        <f>COUNTIFS('[5]2012 личен състав ОТД'!C:C,"ас.",'[5]2012 личен състав ОТД'!D:D,"",'[5]2012 личен състав ОТД'!O:O,"&gt;45",'[5]2012 личен състав ОТД'!O:O,"&lt;56")</f>
        <v>#VALUE!</v>
      </c>
      <c r="F19" s="130" t="e">
        <f>SUM(B19:E19)</f>
        <v>#VALUE!</v>
      </c>
      <c r="G19" s="135"/>
    </row>
    <row r="20" spans="1:7" ht="31.5" customHeight="1" x14ac:dyDescent="0.25">
      <c r="A20" s="129" t="s">
        <v>624</v>
      </c>
      <c r="B20" s="130" t="e">
        <f>COUNTIFS('[5]2012 личен състав ОТД'!C:C,"проф.",'[5]2012 личен състав ОТД'!D:D,"",'[5]2012 личен състав ОТД'!O:O,"&gt;55")</f>
        <v>#VALUE!</v>
      </c>
      <c r="C20" s="130" t="e">
        <f>COUNTIFS('[5]2012 личен състав ОТД'!C:C,"доц.",'[5]2012 личен състав ОТД'!D:D,"",'[5]2012 личен състав ОТД'!O:O,"&gt;55")</f>
        <v>#VALUE!</v>
      </c>
      <c r="D20" s="130" t="e">
        <f>COUNTIFS('[5]2012 личен състав ОТД'!C:C,"гл. ас.",'[5]2012 личен състав ОТД'!D:D,"",'[5]2012 личен състав ОТД'!O:O,"&gt;55")</f>
        <v>#VALUE!</v>
      </c>
      <c r="E20" s="130" t="e">
        <f>COUNTIFS('[5]2012 личен състав ОТД'!C:C,"ас.",'[5]2012 личен състав ОТД'!D:D,"",'[5]2012 личен състав ОТД'!O:O,"&gt;55")</f>
        <v>#VALUE!</v>
      </c>
      <c r="F20" s="130" t="e">
        <f>SUM(B20:E20)</f>
        <v>#VALUE!</v>
      </c>
      <c r="G20" s="135"/>
    </row>
    <row r="21" spans="1:7" ht="31.5" customHeight="1" x14ac:dyDescent="0.25">
      <c r="A21" s="132"/>
      <c r="B21" s="130" t="e">
        <f>SUM(B17:B20)</f>
        <v>#VALUE!</v>
      </c>
      <c r="C21" s="130" t="e">
        <f>SUM(C17:C20)</f>
        <v>#VALUE!</v>
      </c>
      <c r="D21" s="130" t="e">
        <f>SUM(D17:D20)</f>
        <v>#VALUE!</v>
      </c>
      <c r="E21" s="130" t="e">
        <f>SUM(E17:E20)</f>
        <v>#VALUE!</v>
      </c>
      <c r="F21" s="130" t="e">
        <f>SUM(F17:F20)</f>
        <v>#VALUE!</v>
      </c>
      <c r="G21" s="135"/>
    </row>
    <row r="22" spans="1:7" ht="31.5" customHeight="1" x14ac:dyDescent="0.25">
      <c r="A22" s="149" t="s">
        <v>627</v>
      </c>
      <c r="B22" s="150"/>
      <c r="C22" s="150"/>
      <c r="D22" s="150"/>
      <c r="E22" s="150"/>
      <c r="F22" s="150"/>
      <c r="G22" s="151"/>
    </row>
    <row r="23" spans="1:7" ht="31.5" customHeight="1" x14ac:dyDescent="0.25">
      <c r="A23" s="125" t="s">
        <v>547</v>
      </c>
      <c r="B23" s="126" t="s">
        <v>616</v>
      </c>
      <c r="C23" s="127" t="s">
        <v>617</v>
      </c>
      <c r="D23" s="133" t="s">
        <v>628</v>
      </c>
      <c r="E23" s="134"/>
      <c r="F23" s="134"/>
      <c r="G23" s="135"/>
    </row>
    <row r="24" spans="1:7" ht="31.5" customHeight="1" x14ac:dyDescent="0.25">
      <c r="A24" s="129" t="s">
        <v>621</v>
      </c>
      <c r="B24" s="130" t="e">
        <f>COUNTIFS('[5]2012 личен състав ОТД'!C:C,"проф.",'[5]2012 личен състав ОТД'!D:D,"дфн",'[5]2012 личен състав ОТД'!O:O,"&gt;24",'[5]2012 личен състав ОТД'!O:O,"&lt;36")</f>
        <v>#VALUE!</v>
      </c>
      <c r="C24" s="130" t="e">
        <f>COUNTIFS('[5]2012 личен състав ОТД'!C:C,"доц.",'[5]2012 личен състав ОТД'!D:D,"дфн",'[5]2012 личен състав ОТД'!O:O,"&gt;24",'[5]2012 личен състав ОТД'!O:O,"&lt;36")</f>
        <v>#VALUE!</v>
      </c>
      <c r="D24" s="130" t="e">
        <f>SUM(B24:C24)</f>
        <v>#VALUE!</v>
      </c>
      <c r="E24" s="134"/>
      <c r="F24" s="134"/>
      <c r="G24" s="135"/>
    </row>
    <row r="25" spans="1:7" ht="31.5" customHeight="1" x14ac:dyDescent="0.25">
      <c r="A25" s="129" t="s">
        <v>622</v>
      </c>
      <c r="B25" s="130" t="e">
        <f>COUNTIFS('[5]2012 личен състав ОТД'!C:C,"проф.",'[5]2012 личен състав ОТД'!D:D,"дфн",'[5]2012 личен състав ОТД'!O:O,"&gt;35",'[5]2012 личен състав ОТД'!O:O,"&lt;46")</f>
        <v>#VALUE!</v>
      </c>
      <c r="C25" s="130" t="e">
        <f>COUNTIFS('[5]2012 личен състав ОТД'!C:C,"доц.",'[5]2012 личен състав ОТД'!D:D,"дфн",'[5]2012 личен състав ОТД'!O:O,"&gt;35",'[5]2012 личен състав ОТД'!O:O,"&lt;46")</f>
        <v>#VALUE!</v>
      </c>
      <c r="D25" s="130" t="e">
        <f>SUM(B25:C25)</f>
        <v>#VALUE!</v>
      </c>
      <c r="E25" s="134"/>
      <c r="F25" s="134"/>
      <c r="G25" s="135"/>
    </row>
    <row r="26" spans="1:7" ht="31.5" customHeight="1" x14ac:dyDescent="0.25">
      <c r="A26" s="129" t="s">
        <v>623</v>
      </c>
      <c r="B26" s="130" t="e">
        <f>COUNTIFS('[5]2012 личен състав ОТД'!C:C,"проф.",'[5]2012 личен състав ОТД'!D:D,"дфн",'[5]2012 личен състав ОТД'!O:O,"&gt;45",'[5]2012 личен състав ОТД'!O:O,"&lt;56")</f>
        <v>#VALUE!</v>
      </c>
      <c r="C26" s="130" t="e">
        <f>COUNTIFS('[5]2012 личен състав ОТД'!C:C,"доц.",'[5]2012 личен състав ОТД'!D:D,"дфн",'[5]2012 личен състав ОТД'!O:O,"&gt;45",'[5]2012 личен състав ОТД'!O:O,"&lt;56")</f>
        <v>#VALUE!</v>
      </c>
      <c r="D26" s="130" t="e">
        <f>SUM(B26:C26)</f>
        <v>#VALUE!</v>
      </c>
      <c r="E26" s="134"/>
      <c r="F26" s="134"/>
      <c r="G26" s="135"/>
    </row>
    <row r="27" spans="1:7" ht="31.5" customHeight="1" x14ac:dyDescent="0.25">
      <c r="A27" s="129" t="s">
        <v>624</v>
      </c>
      <c r="B27" s="130" t="e">
        <f>COUNTIFS('[5]2012 личен състав ОТД'!C:C,"проф.",'[5]2012 личен състав ОТД'!D:D,"дфн",'[5]2012 личен състав ОТД'!O:O,"&gt;55")</f>
        <v>#VALUE!</v>
      </c>
      <c r="C27" s="130" t="e">
        <f>COUNTIFS('[5]2012 личен състав ОТД'!C:C,"доц.",'[5]2012 личен състав ОТД'!D:D,"дфн",'[5]2012 личен състав ОТД'!O:O,"&gt;55")</f>
        <v>#VALUE!</v>
      </c>
      <c r="D27" s="130" t="e">
        <f>SUM(B27:C27)</f>
        <v>#VALUE!</v>
      </c>
      <c r="E27" s="134"/>
      <c r="F27" s="134"/>
      <c r="G27" s="135"/>
    </row>
    <row r="28" spans="1:7" ht="31.5" customHeight="1" thickBot="1" x14ac:dyDescent="0.3">
      <c r="A28" s="136"/>
      <c r="B28" s="137" t="e">
        <f>SUM(B24:B27)</f>
        <v>#VALUE!</v>
      </c>
      <c r="C28" s="137" t="e">
        <f>SUM(C24:C27)</f>
        <v>#VALUE!</v>
      </c>
      <c r="D28" s="137" t="e">
        <f>SUM(D24:D27)</f>
        <v>#VALUE!</v>
      </c>
      <c r="E28" s="138"/>
      <c r="F28" s="138"/>
      <c r="G28" s="139"/>
    </row>
    <row r="29" spans="1:7" ht="15.75" thickTop="1" x14ac:dyDescent="0.25"/>
  </sheetData>
  <mergeCells count="4">
    <mergeCell ref="A1:G1"/>
    <mergeCell ref="A8:G8"/>
    <mergeCell ref="A15:G15"/>
    <mergeCell ref="A22:G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&amp;A</oddHead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zoomScale="80" zoomScaleNormal="80" zoomScaleSheetLayoutView="80" workbookViewId="0">
      <selection activeCell="E12" sqref="E12"/>
    </sheetView>
  </sheetViews>
  <sheetFormatPr defaultRowHeight="12.75" x14ac:dyDescent="0.2"/>
  <cols>
    <col min="1" max="1" width="57.140625" customWidth="1"/>
    <col min="2" max="2" width="32.85546875" customWidth="1"/>
    <col min="3" max="3" width="19" customWidth="1"/>
    <col min="4" max="4" width="21.7109375" customWidth="1"/>
    <col min="5" max="7" width="24.85546875" customWidth="1"/>
  </cols>
  <sheetData>
    <row r="1" spans="1:4" x14ac:dyDescent="0.2">
      <c r="A1" s="82" t="s">
        <v>580</v>
      </c>
      <c r="B1" t="s">
        <v>581</v>
      </c>
    </row>
    <row r="2" spans="1:4" ht="13.5" thickBot="1" x14ac:dyDescent="0.25"/>
    <row r="3" spans="1:4" ht="13.5" thickTop="1" x14ac:dyDescent="0.2">
      <c r="A3" s="113" t="s">
        <v>81</v>
      </c>
      <c r="B3" s="114" t="s">
        <v>448</v>
      </c>
      <c r="C3" s="114" t="s">
        <v>577</v>
      </c>
      <c r="D3" s="115" t="s">
        <v>578</v>
      </c>
    </row>
    <row r="4" spans="1:4" x14ac:dyDescent="0.2">
      <c r="A4" s="116" t="s">
        <v>31</v>
      </c>
      <c r="B4" s="117" t="s">
        <v>582</v>
      </c>
      <c r="C4" s="117"/>
      <c r="D4" s="118"/>
    </row>
    <row r="5" spans="1:4" x14ac:dyDescent="0.2">
      <c r="A5" s="116" t="s">
        <v>62</v>
      </c>
      <c r="B5" s="117" t="s">
        <v>583</v>
      </c>
      <c r="C5" s="117" t="s">
        <v>86</v>
      </c>
      <c r="D5" s="118" t="s">
        <v>86</v>
      </c>
    </row>
    <row r="6" spans="1:4" x14ac:dyDescent="0.2">
      <c r="A6" s="116" t="s">
        <v>47</v>
      </c>
      <c r="B6" s="117" t="s">
        <v>584</v>
      </c>
      <c r="C6" s="117" t="s">
        <v>86</v>
      </c>
      <c r="D6" s="118" t="s">
        <v>86</v>
      </c>
    </row>
    <row r="7" spans="1:4" x14ac:dyDescent="0.2">
      <c r="A7" s="116" t="s">
        <v>23</v>
      </c>
      <c r="B7" s="117" t="s">
        <v>585</v>
      </c>
      <c r="C7" s="117" t="s">
        <v>86</v>
      </c>
      <c r="D7" s="118" t="s">
        <v>5</v>
      </c>
    </row>
    <row r="8" spans="1:4" x14ac:dyDescent="0.2">
      <c r="A8" s="116" t="s">
        <v>11</v>
      </c>
      <c r="B8" s="117" t="s">
        <v>586</v>
      </c>
      <c r="C8" s="117" t="s">
        <v>86</v>
      </c>
      <c r="D8" s="118" t="s">
        <v>86</v>
      </c>
    </row>
    <row r="9" spans="1:4" x14ac:dyDescent="0.2">
      <c r="A9" s="116" t="s">
        <v>117</v>
      </c>
      <c r="B9" s="117" t="s">
        <v>592</v>
      </c>
      <c r="C9" s="117" t="s">
        <v>86</v>
      </c>
      <c r="D9" s="118" t="s">
        <v>86</v>
      </c>
    </row>
    <row r="10" spans="1:4" x14ac:dyDescent="0.2">
      <c r="A10" s="116" t="s">
        <v>579</v>
      </c>
      <c r="B10" s="117" t="s">
        <v>587</v>
      </c>
      <c r="C10" s="117" t="s">
        <v>86</v>
      </c>
      <c r="D10" s="118" t="s">
        <v>86</v>
      </c>
    </row>
    <row r="11" spans="1:4" x14ac:dyDescent="0.2">
      <c r="A11" s="116" t="s">
        <v>49</v>
      </c>
      <c r="B11" s="117" t="s">
        <v>588</v>
      </c>
      <c r="C11" s="117" t="s">
        <v>86</v>
      </c>
      <c r="D11" s="118" t="s">
        <v>5</v>
      </c>
    </row>
    <row r="12" spans="1:4" x14ac:dyDescent="0.2">
      <c r="A12" s="116" t="s">
        <v>13</v>
      </c>
      <c r="B12" s="117" t="s">
        <v>588</v>
      </c>
      <c r="C12" s="117" t="s">
        <v>86</v>
      </c>
      <c r="D12" s="118" t="s">
        <v>86</v>
      </c>
    </row>
    <row r="13" spans="1:4" x14ac:dyDescent="0.2">
      <c r="A13" s="116" t="s">
        <v>40</v>
      </c>
      <c r="B13" s="117" t="s">
        <v>589</v>
      </c>
      <c r="C13" s="117" t="s">
        <v>86</v>
      </c>
      <c r="D13" s="118" t="s">
        <v>86</v>
      </c>
    </row>
    <row r="14" spans="1:4" x14ac:dyDescent="0.2">
      <c r="A14" s="116" t="s">
        <v>65</v>
      </c>
      <c r="B14" s="117" t="s">
        <v>590</v>
      </c>
      <c r="C14" s="117" t="s">
        <v>86</v>
      </c>
      <c r="D14" s="118" t="s">
        <v>86</v>
      </c>
    </row>
    <row r="15" spans="1:4" x14ac:dyDescent="0.2">
      <c r="A15" s="116" t="s">
        <v>64</v>
      </c>
      <c r="B15" s="117" t="s">
        <v>591</v>
      </c>
      <c r="C15" s="117" t="s">
        <v>86</v>
      </c>
      <c r="D15" s="118" t="s">
        <v>86</v>
      </c>
    </row>
    <row r="16" spans="1:4" x14ac:dyDescent="0.2">
      <c r="A16" s="116" t="s">
        <v>34</v>
      </c>
      <c r="B16" s="117" t="s">
        <v>593</v>
      </c>
      <c r="C16" s="117" t="s">
        <v>86</v>
      </c>
      <c r="D16" s="118" t="s">
        <v>86</v>
      </c>
    </row>
    <row r="17" spans="1:4" x14ac:dyDescent="0.2">
      <c r="A17" s="116" t="s">
        <v>35</v>
      </c>
      <c r="B17" s="117" t="s">
        <v>594</v>
      </c>
      <c r="C17" s="117" t="s">
        <v>86</v>
      </c>
      <c r="D17" s="118" t="s">
        <v>86</v>
      </c>
    </row>
    <row r="18" spans="1:4" x14ac:dyDescent="0.2">
      <c r="A18" s="116" t="s">
        <v>122</v>
      </c>
      <c r="B18" s="117" t="s">
        <v>595</v>
      </c>
      <c r="C18" s="117" t="s">
        <v>86</v>
      </c>
      <c r="D18" s="118" t="s">
        <v>86</v>
      </c>
    </row>
    <row r="19" spans="1:4" x14ac:dyDescent="0.2">
      <c r="A19" s="116" t="s">
        <v>125</v>
      </c>
      <c r="B19" s="117" t="s">
        <v>595</v>
      </c>
      <c r="C19" s="117" t="s">
        <v>86</v>
      </c>
      <c r="D19" s="118" t="s">
        <v>5</v>
      </c>
    </row>
    <row r="20" spans="1:4" x14ac:dyDescent="0.2">
      <c r="A20" s="116" t="s">
        <v>128</v>
      </c>
      <c r="B20" s="117" t="s">
        <v>596</v>
      </c>
      <c r="C20" s="117" t="s">
        <v>86</v>
      </c>
      <c r="D20" s="118" t="s">
        <v>86</v>
      </c>
    </row>
    <row r="21" spans="1:4" x14ac:dyDescent="0.2">
      <c r="A21" s="116" t="s">
        <v>134</v>
      </c>
      <c r="B21" s="117" t="s">
        <v>597</v>
      </c>
      <c r="C21" s="117" t="s">
        <v>86</v>
      </c>
      <c r="D21" s="118" t="s">
        <v>86</v>
      </c>
    </row>
    <row r="22" spans="1:4" x14ac:dyDescent="0.2">
      <c r="A22" s="116" t="s">
        <v>129</v>
      </c>
      <c r="B22" s="117" t="s">
        <v>598</v>
      </c>
      <c r="C22" s="117" t="s">
        <v>86</v>
      </c>
      <c r="D22" s="118" t="s">
        <v>86</v>
      </c>
    </row>
    <row r="23" spans="1:4" x14ac:dyDescent="0.2">
      <c r="A23" s="116" t="s">
        <v>37</v>
      </c>
      <c r="B23" s="117" t="s">
        <v>599</v>
      </c>
      <c r="C23" s="117" t="s">
        <v>86</v>
      </c>
      <c r="D23" s="118" t="s">
        <v>86</v>
      </c>
    </row>
    <row r="24" spans="1:4" x14ac:dyDescent="0.2">
      <c r="A24" s="116" t="s">
        <v>44</v>
      </c>
      <c r="B24" s="117" t="s">
        <v>601</v>
      </c>
      <c r="C24" s="117" t="s">
        <v>86</v>
      </c>
      <c r="D24" s="118" t="s">
        <v>86</v>
      </c>
    </row>
    <row r="25" spans="1:4" x14ac:dyDescent="0.2">
      <c r="A25" s="116" t="s">
        <v>54</v>
      </c>
      <c r="B25" s="117" t="s">
        <v>600</v>
      </c>
      <c r="C25" s="117" t="s">
        <v>86</v>
      </c>
      <c r="D25" s="118" t="s">
        <v>86</v>
      </c>
    </row>
    <row r="26" spans="1:4" x14ac:dyDescent="0.2">
      <c r="A26" s="116" t="s">
        <v>74</v>
      </c>
      <c r="B26" s="117" t="s">
        <v>601</v>
      </c>
      <c r="C26" s="117" t="s">
        <v>86</v>
      </c>
      <c r="D26" s="118" t="s">
        <v>86</v>
      </c>
    </row>
    <row r="27" spans="1:4" x14ac:dyDescent="0.2">
      <c r="A27" s="116" t="s">
        <v>26</v>
      </c>
      <c r="B27" s="117" t="s">
        <v>602</v>
      </c>
      <c r="C27" s="117" t="s">
        <v>86</v>
      </c>
      <c r="D27" s="118" t="s">
        <v>86</v>
      </c>
    </row>
    <row r="28" spans="1:4" x14ac:dyDescent="0.2">
      <c r="A28" s="116" t="s">
        <v>123</v>
      </c>
      <c r="B28" s="117" t="s">
        <v>603</v>
      </c>
      <c r="C28" s="117" t="s">
        <v>86</v>
      </c>
      <c r="D28" s="118" t="s">
        <v>86</v>
      </c>
    </row>
    <row r="29" spans="1:4" x14ac:dyDescent="0.2">
      <c r="A29" s="116" t="s">
        <v>126</v>
      </c>
      <c r="B29" s="117" t="s">
        <v>603</v>
      </c>
      <c r="C29" s="117" t="s">
        <v>86</v>
      </c>
      <c r="D29" s="118" t="s">
        <v>86</v>
      </c>
    </row>
    <row r="30" spans="1:4" x14ac:dyDescent="0.2">
      <c r="A30" s="116" t="s">
        <v>132</v>
      </c>
      <c r="B30" s="117" t="s">
        <v>603</v>
      </c>
      <c r="C30" s="117" t="s">
        <v>86</v>
      </c>
      <c r="D30" s="118" t="s">
        <v>5</v>
      </c>
    </row>
    <row r="31" spans="1:4" x14ac:dyDescent="0.2">
      <c r="A31" s="116" t="s">
        <v>137</v>
      </c>
      <c r="B31" s="117" t="s">
        <v>604</v>
      </c>
      <c r="C31" s="117" t="s">
        <v>86</v>
      </c>
      <c r="D31" s="118" t="s">
        <v>5</v>
      </c>
    </row>
    <row r="32" spans="1:4" x14ac:dyDescent="0.2">
      <c r="A32" s="116" t="s">
        <v>120</v>
      </c>
      <c r="B32" s="117" t="s">
        <v>603</v>
      </c>
      <c r="C32" s="117" t="s">
        <v>86</v>
      </c>
      <c r="D32" s="118" t="s">
        <v>5</v>
      </c>
    </row>
    <row r="33" spans="1:4" x14ac:dyDescent="0.2">
      <c r="A33" s="116" t="s">
        <v>19</v>
      </c>
      <c r="B33" s="117" t="s">
        <v>605</v>
      </c>
      <c r="C33" s="117" t="s">
        <v>86</v>
      </c>
      <c r="D33" s="118" t="s">
        <v>86</v>
      </c>
    </row>
    <row r="34" spans="1:4" x14ac:dyDescent="0.2">
      <c r="A34" s="116" t="s">
        <v>20</v>
      </c>
      <c r="B34" s="117" t="s">
        <v>606</v>
      </c>
      <c r="C34" s="117" t="s">
        <v>86</v>
      </c>
      <c r="D34" s="118" t="s">
        <v>86</v>
      </c>
    </row>
    <row r="35" spans="1:4" ht="13.5" thickBot="1" x14ac:dyDescent="0.25">
      <c r="A35" s="119" t="s">
        <v>127</v>
      </c>
      <c r="B35" s="120" t="s">
        <v>604</v>
      </c>
      <c r="C35" s="120" t="s">
        <v>86</v>
      </c>
      <c r="D35" s="121" t="s">
        <v>86</v>
      </c>
    </row>
    <row r="36" spans="1:4" ht="13.5" thickTop="1" x14ac:dyDescent="0.2">
      <c r="A36" t="s">
        <v>524</v>
      </c>
    </row>
    <row r="38" spans="1:4" ht="13.5" thickBot="1" x14ac:dyDescent="0.25"/>
    <row r="39" spans="1:4" ht="13.5" thickTop="1" x14ac:dyDescent="0.2"/>
  </sheetData>
  <pageMargins left="0.7" right="0.7" top="0.75" bottom="0.75" header="0.3" footer="0.3"/>
  <pageSetup paperSize="9" orientation="landscape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E108"/>
  <sheetViews>
    <sheetView zoomScale="70" zoomScaleNormal="70" zoomScaleSheetLayoutView="140" workbookViewId="0">
      <pane xSplit="2" ySplit="2" topLeftCell="M72" activePane="bottomRight" state="frozen"/>
      <selection activeCell="T1" sqref="T1:T97"/>
      <selection pane="topRight" activeCell="T1" sqref="T1:T97"/>
      <selection pane="bottomLeft" activeCell="T1" sqref="T1:T97"/>
      <selection pane="bottomRight" activeCell="T1" sqref="T1:T97"/>
    </sheetView>
  </sheetViews>
  <sheetFormatPr defaultRowHeight="15" x14ac:dyDescent="0.25"/>
  <cols>
    <col min="1" max="1" width="59" style="67" customWidth="1"/>
    <col min="2" max="2" width="3.7109375" style="8" customWidth="1"/>
    <col min="3" max="8" width="4.7109375" style="4" customWidth="1"/>
    <col min="9" max="9" width="3.7109375" style="5" customWidth="1"/>
    <col min="10" max="10" width="6.85546875" style="10" customWidth="1"/>
    <col min="11" max="13" width="5.85546875" style="73" customWidth="1"/>
    <col min="14" max="14" width="28.42578125" style="7" customWidth="1"/>
    <col min="15" max="15" width="13.28515625" style="7" customWidth="1"/>
    <col min="16" max="17" width="10.7109375" style="7" customWidth="1"/>
    <col min="18" max="18" width="7.5703125" style="7" customWidth="1"/>
    <col min="19" max="20" width="14" style="3" customWidth="1"/>
    <col min="21" max="21" width="11.85546875" style="3" customWidth="1"/>
    <col min="22" max="16384" width="9.140625" style="7"/>
  </cols>
  <sheetData>
    <row r="1" spans="1:31" s="3" customFormat="1" x14ac:dyDescent="0.25">
      <c r="A1" s="69" t="s">
        <v>81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" t="s">
        <v>578</v>
      </c>
      <c r="T1" s="1" t="s">
        <v>629</v>
      </c>
      <c r="U1" s="111" t="s">
        <v>577</v>
      </c>
      <c r="V1" s="3" t="s">
        <v>255</v>
      </c>
      <c r="W1" s="3" t="s">
        <v>265</v>
      </c>
      <c r="X1" s="3" t="s">
        <v>253</v>
      </c>
      <c r="Y1" s="3" t="s">
        <v>263</v>
      </c>
      <c r="Z1" s="3" t="s">
        <v>272</v>
      </c>
      <c r="AA1" s="3" t="s">
        <v>406</v>
      </c>
      <c r="AB1" s="3" t="s">
        <v>573</v>
      </c>
      <c r="AC1" s="3" t="s">
        <v>607</v>
      </c>
      <c r="AD1" s="7" t="s">
        <v>575</v>
      </c>
      <c r="AE1" s="7" t="s">
        <v>576</v>
      </c>
    </row>
    <row r="2" spans="1:31" x14ac:dyDescent="0.25">
      <c r="A2" s="69" t="s">
        <v>10</v>
      </c>
      <c r="B2" s="1"/>
      <c r="J2" s="6">
        <v>1</v>
      </c>
      <c r="L2" s="73">
        <v>1</v>
      </c>
      <c r="O2" s="3">
        <f ca="1">YEAR(TODAY())</f>
        <v>2013</v>
      </c>
      <c r="P2" s="3">
        <f ca="1">O2-(AVERAGEIFS(P:P,L:L,"&gt;0",Q:Q,"ОТД"))</f>
        <v>56.424242424242493</v>
      </c>
      <c r="R2" s="57">
        <v>1</v>
      </c>
      <c r="T2" s="3">
        <f ca="1">YEAR(TODAY())</f>
        <v>2013</v>
      </c>
      <c r="V2" s="7">
        <f ca="1">COUNTIFS(P:P,"&gt;1900",R:R,"СПЕ")</f>
        <v>16</v>
      </c>
      <c r="W2" s="7">
        <f ca="1">COUNTIFS(P:P,"&gt;1900",R:R,"ОФД")</f>
        <v>10</v>
      </c>
      <c r="X2" s="7">
        <f ca="1">COUNTIFS(P:P,"&gt;1900",R:R,"ПЕД")</f>
        <v>5</v>
      </c>
      <c r="Y2" s="7">
        <f>COUNTIF(R:R,"ПРА")</f>
        <v>8</v>
      </c>
      <c r="Z2" s="7">
        <f>COUNTIF(R:R,"ИЗБ")</f>
        <v>4</v>
      </c>
      <c r="AA2" s="7">
        <f>COUNTIF(R:R,"ФД")</f>
        <v>4</v>
      </c>
      <c r="AB2" s="7">
        <f ca="1">SUBTOTAL(9,V2:AA2)</f>
        <v>47</v>
      </c>
      <c r="AC2" s="7">
        <f ca="1">V2/AB2</f>
        <v>0.34042553191489361</v>
      </c>
      <c r="AD2" s="7">
        <f>(COUNTIFS(N:N,"проф.*",Q:Q,"ОТД")+COUNTIFS(N:N,"доц.*",Q:Q,"ОТД"))/COUNTIF(Q:Q,"ОТД")</f>
        <v>0.75757575757575757</v>
      </c>
      <c r="AE2" s="7">
        <f ca="1">COUNTIF(S:S,"У")/V2</f>
        <v>0.625</v>
      </c>
    </row>
    <row r="3" spans="1:31" x14ac:dyDescent="0.25">
      <c r="A3" s="67" t="s">
        <v>11</v>
      </c>
      <c r="B3" s="4">
        <v>30</v>
      </c>
      <c r="C3" s="4">
        <v>30</v>
      </c>
      <c r="D3" s="4">
        <v>30</v>
      </c>
      <c r="E3" s="4">
        <v>0</v>
      </c>
      <c r="F3" s="4">
        <v>0</v>
      </c>
      <c r="G3" s="4">
        <f>H3-C3</f>
        <v>90</v>
      </c>
      <c r="H3" s="4">
        <f t="shared" ref="H3:H10" si="0">I3*30</f>
        <v>120</v>
      </c>
      <c r="I3" s="4">
        <v>4</v>
      </c>
      <c r="J3" s="4" t="s">
        <v>12</v>
      </c>
      <c r="K3" s="73">
        <f t="shared" ref="K3:K34" si="1">SUMIF(A:A,A3,C:C)</f>
        <v>30</v>
      </c>
      <c r="L3" s="73">
        <f t="shared" ref="L3:L34" si="2">SUMIF(A:A,A3,D:D)</f>
        <v>30</v>
      </c>
      <c r="M3" s="73">
        <f t="shared" ref="M3:M34" si="3">SUMIF(A:A,A3,E:E)+SUMIF(A:A,A3,F:F)</f>
        <v>0</v>
      </c>
      <c r="N3" s="7" t="str">
        <f>IF(O3=""," ",VLOOKUP(O3,'[8]2012 личен състав ОТД'!$A:$AO,2,FALSE))</f>
        <v>гл. ас. д-р Аделина Странджева</v>
      </c>
      <c r="O3" s="3" t="s">
        <v>456</v>
      </c>
      <c r="P3" s="7">
        <f>IF(O3=""," ",VLOOKUP(O3,'[8]2012 личен състав ОТД'!$A:$AO,13,FALSE))</f>
        <v>1960</v>
      </c>
      <c r="Q3" s="7" t="str">
        <f>IF(O3=""," ",VLOOKUP(O3,'[8]2012 личен състав ОТД'!$A:$AO,12,FALSE))</f>
        <v>ОТД</v>
      </c>
      <c r="R3" s="7" t="str">
        <f>IF(A3=""," ",VLOOKUP(A3,'Профилиращ лист'!A:B,2,FALSE))</f>
        <v>СПЕ</v>
      </c>
      <c r="T3" s="3">
        <f t="shared" ref="T3:T34" ca="1" si="4">Години-P3</f>
        <v>53</v>
      </c>
      <c r="V3" s="7" t="s">
        <v>609</v>
      </c>
      <c r="W3" s="7" t="s">
        <v>610</v>
      </c>
      <c r="X3" s="7" t="s">
        <v>611</v>
      </c>
      <c r="Y3" s="7" t="s">
        <v>612</v>
      </c>
      <c r="Z3" s="7" t="s">
        <v>613</v>
      </c>
      <c r="AA3" s="7" t="s">
        <v>614</v>
      </c>
    </row>
    <row r="4" spans="1:31" ht="18" customHeight="1" x14ac:dyDescent="0.25">
      <c r="A4" s="8" t="s">
        <v>13</v>
      </c>
      <c r="B4" s="4">
        <v>45</v>
      </c>
      <c r="C4" s="4">
        <v>45</v>
      </c>
      <c r="D4" s="4">
        <v>15</v>
      </c>
      <c r="E4" s="4">
        <v>30</v>
      </c>
      <c r="F4" s="4">
        <v>0</v>
      </c>
      <c r="G4" s="4">
        <f t="shared" ref="G4:G10" si="5">H4-C4</f>
        <v>75</v>
      </c>
      <c r="H4" s="4">
        <f t="shared" si="0"/>
        <v>120</v>
      </c>
      <c r="I4" s="4">
        <v>4</v>
      </c>
      <c r="J4" s="4" t="s">
        <v>14</v>
      </c>
      <c r="K4" s="73">
        <f t="shared" si="1"/>
        <v>90</v>
      </c>
      <c r="L4" s="73">
        <f t="shared" si="2"/>
        <v>30</v>
      </c>
      <c r="M4" s="73">
        <f t="shared" si="3"/>
        <v>60</v>
      </c>
      <c r="N4" s="7" t="str">
        <f>IF(O4=""," ",VLOOKUP(O4,'[8]2012 личен състав ОТД'!$A:$AO,2,FALSE))</f>
        <v xml:space="preserve"> </v>
      </c>
      <c r="O4" s="3"/>
      <c r="P4" s="7" t="str">
        <f>IF(O4=""," ",VLOOKUP(O4,'[8]2012 личен състав ОТД'!$A:$AO,13,FALSE))</f>
        <v xml:space="preserve"> </v>
      </c>
      <c r="Q4" s="7" t="str">
        <f>IF(O4=""," ",VLOOKUP(O4,'[8]2012 личен състав ОТД'!$A:$AO,12,FALSE))</f>
        <v xml:space="preserve"> </v>
      </c>
      <c r="R4" s="7" t="str">
        <f>IF(A4=""," ",VLOOKUP(A4,'Профилиращ лист'!A:B,2,FALSE))</f>
        <v>ОФД</v>
      </c>
      <c r="T4" s="3" t="e">
        <f t="shared" ca="1" si="4"/>
        <v>#VALUE!</v>
      </c>
      <c r="V4" s="7">
        <f>COUNTIF(N:N,"проф.*")</f>
        <v>11</v>
      </c>
      <c r="W4" s="7">
        <f>COUNTIF(N:N,"доц.*")</f>
        <v>16</v>
      </c>
      <c r="X4" s="7">
        <f>COUNTIF(N:N,"*ас. д-р*")</f>
        <v>8</v>
      </c>
      <c r="Y4" s="7">
        <f>COUNTIF(N:N,"гл. ас.*")-X4</f>
        <v>0</v>
      </c>
      <c r="Z4" s="7">
        <f>COUNTIF(N:N,"ас.*")</f>
        <v>0</v>
      </c>
      <c r="AA4" s="7">
        <f>SUM(V4:Z4)</f>
        <v>35</v>
      </c>
    </row>
    <row r="5" spans="1:31" ht="18" customHeight="1" x14ac:dyDescent="0.25">
      <c r="A5" s="8" t="s">
        <v>116</v>
      </c>
      <c r="B5" s="4">
        <v>90</v>
      </c>
      <c r="C5" s="4">
        <v>90</v>
      </c>
      <c r="D5" s="4">
        <v>0</v>
      </c>
      <c r="E5" s="4">
        <v>0</v>
      </c>
      <c r="F5" s="4">
        <v>90</v>
      </c>
      <c r="G5" s="4">
        <f t="shared" si="5"/>
        <v>120</v>
      </c>
      <c r="H5" s="4">
        <f t="shared" si="0"/>
        <v>210</v>
      </c>
      <c r="I5" s="4">
        <v>7</v>
      </c>
      <c r="J5" s="4" t="s">
        <v>14</v>
      </c>
      <c r="K5" s="73">
        <f t="shared" si="1"/>
        <v>630</v>
      </c>
      <c r="L5" s="73">
        <f t="shared" si="2"/>
        <v>0</v>
      </c>
      <c r="M5" s="73">
        <f t="shared" si="3"/>
        <v>630</v>
      </c>
      <c r="N5" s="7" t="str">
        <f>IF(O5=""," ",VLOOKUP(O5,'[8]2012 личен състав ОТД'!$A:$AO,2,FALSE))</f>
        <v xml:space="preserve"> </v>
      </c>
      <c r="O5" s="3"/>
      <c r="P5" s="7" t="str">
        <f>IF(O5=""," ",VLOOKUP(O5,'[8]2012 личен състав ОТД'!$A:$AO,13,FALSE))</f>
        <v xml:space="preserve"> </v>
      </c>
      <c r="Q5" s="7" t="str">
        <f>IF(O5=""," ",VLOOKUP(O5,'[8]2012 личен състав ОТД'!$A:$AO,12,FALSE))</f>
        <v xml:space="preserve"> </v>
      </c>
      <c r="R5" s="7" t="str">
        <f>IF(A5=""," ",VLOOKUP(A5,'Профилиращ лист'!A:B,2,FALSE))</f>
        <v>ПРА</v>
      </c>
      <c r="T5" s="3" t="e">
        <f t="shared" ca="1" si="4"/>
        <v>#VALUE!</v>
      </c>
    </row>
    <row r="6" spans="1:31" ht="18" customHeight="1" x14ac:dyDescent="0.25">
      <c r="A6" s="8" t="s">
        <v>117</v>
      </c>
      <c r="B6" s="4">
        <v>15</v>
      </c>
      <c r="C6" s="4">
        <v>30</v>
      </c>
      <c r="D6" s="4">
        <v>0</v>
      </c>
      <c r="E6" s="4">
        <v>0</v>
      </c>
      <c r="F6" s="4">
        <v>30</v>
      </c>
      <c r="G6" s="4">
        <f t="shared" si="5"/>
        <v>60</v>
      </c>
      <c r="H6" s="4">
        <f t="shared" si="0"/>
        <v>90</v>
      </c>
      <c r="I6" s="4">
        <v>3</v>
      </c>
      <c r="J6" s="4" t="s">
        <v>12</v>
      </c>
      <c r="K6" s="73">
        <f t="shared" si="1"/>
        <v>30</v>
      </c>
      <c r="L6" s="73">
        <f t="shared" si="2"/>
        <v>0</v>
      </c>
      <c r="M6" s="73">
        <f t="shared" si="3"/>
        <v>30</v>
      </c>
      <c r="N6" s="7" t="str">
        <f>IF(O6=""," ",VLOOKUP(O6,'[8]2012 личен състав ОТД'!$A:$AO,2,FALSE))</f>
        <v xml:space="preserve"> </v>
      </c>
      <c r="O6" s="3"/>
      <c r="P6" s="7" t="str">
        <f>IF(O6=""," ",VLOOKUP(O6,'[8]2012 личен състав ОТД'!$A:$AO,13,FALSE))</f>
        <v xml:space="preserve"> </v>
      </c>
      <c r="Q6" s="7" t="str">
        <f>IF(O6=""," ",VLOOKUP(O6,'[8]2012 личен състав ОТД'!$A:$AO,12,FALSE))</f>
        <v xml:space="preserve"> </v>
      </c>
      <c r="R6" s="7" t="s">
        <v>272</v>
      </c>
      <c r="T6" s="3" t="e">
        <f t="shared" ca="1" si="4"/>
        <v>#VALUE!</v>
      </c>
      <c r="V6" s="152" t="s">
        <v>556</v>
      </c>
      <c r="W6" s="152">
        <v>0</v>
      </c>
      <c r="X6" s="152" t="s">
        <v>557</v>
      </c>
      <c r="Y6" s="152">
        <v>0</v>
      </c>
      <c r="Z6" s="152" t="s">
        <v>558</v>
      </c>
      <c r="AA6" s="152">
        <v>0</v>
      </c>
      <c r="AB6" s="152" t="s">
        <v>559</v>
      </c>
      <c r="AC6" s="152">
        <v>0</v>
      </c>
      <c r="AD6" s="152" t="s">
        <v>560</v>
      </c>
      <c r="AE6" s="153">
        <v>0</v>
      </c>
    </row>
    <row r="7" spans="1:31" ht="18" customHeight="1" x14ac:dyDescent="0.25">
      <c r="A7" s="8" t="s">
        <v>21</v>
      </c>
      <c r="B7" s="4">
        <v>15</v>
      </c>
      <c r="C7" s="4">
        <v>30</v>
      </c>
      <c r="D7" s="4">
        <v>0</v>
      </c>
      <c r="E7" s="4">
        <v>0</v>
      </c>
      <c r="F7" s="4">
        <v>30</v>
      </c>
      <c r="G7" s="4">
        <f t="shared" si="5"/>
        <v>30</v>
      </c>
      <c r="H7" s="4">
        <f t="shared" si="0"/>
        <v>60</v>
      </c>
      <c r="I7" s="4">
        <v>2</v>
      </c>
      <c r="J7" s="4" t="s">
        <v>18</v>
      </c>
      <c r="K7" s="73">
        <f t="shared" si="1"/>
        <v>30</v>
      </c>
      <c r="L7" s="73">
        <f t="shared" si="2"/>
        <v>0</v>
      </c>
      <c r="M7" s="73">
        <f t="shared" si="3"/>
        <v>30</v>
      </c>
      <c r="N7" s="7" t="str">
        <f>IF(O7=""," ",VLOOKUP(O7,'[8]2012 личен състав ОТД'!$A:$AO,2,FALSE))</f>
        <v xml:space="preserve"> </v>
      </c>
      <c r="O7" s="3"/>
      <c r="P7" s="7" t="str">
        <f>IF(O7=""," ",VLOOKUP(O7,'[8]2012 личен състав ОТД'!$A:$AO,13,FALSE))</f>
        <v xml:space="preserve"> </v>
      </c>
      <c r="Q7" s="7" t="str">
        <f>IF(O7=""," ",VLOOKUP(O7,'[8]2012 личен състав ОТД'!$A:$AO,12,FALSE))</f>
        <v xml:space="preserve"> </v>
      </c>
      <c r="R7" s="7" t="str">
        <f>IF(A7=""," ",VLOOKUP(A7,'Профилиращ лист'!A:B,2,FALSE))</f>
        <v>ФД</v>
      </c>
      <c r="T7" s="3" t="e">
        <f t="shared" ca="1" si="4"/>
        <v>#VALUE!</v>
      </c>
      <c r="V7" s="7">
        <f ca="1">COUNTIF(P:P,"&lt;1989;&gt;1979")</f>
        <v>71</v>
      </c>
      <c r="X7" s="7">
        <f ca="1">COUNTIF(P:P,"&gt;1952;&lt;1961")</f>
        <v>1</v>
      </c>
    </row>
    <row r="8" spans="1:31" ht="18" customHeight="1" x14ac:dyDescent="0.25">
      <c r="A8" s="8" t="s">
        <v>28</v>
      </c>
      <c r="B8" s="4">
        <v>15</v>
      </c>
      <c r="C8" s="4">
        <v>15</v>
      </c>
      <c r="D8" s="4">
        <v>0</v>
      </c>
      <c r="E8" s="4">
        <v>0</v>
      </c>
      <c r="F8" s="4">
        <v>15</v>
      </c>
      <c r="G8" s="4">
        <f t="shared" si="5"/>
        <v>45</v>
      </c>
      <c r="H8" s="4">
        <f t="shared" si="0"/>
        <v>60</v>
      </c>
      <c r="I8" s="4">
        <v>2</v>
      </c>
      <c r="J8" s="4" t="s">
        <v>18</v>
      </c>
      <c r="K8" s="73">
        <f t="shared" si="1"/>
        <v>15</v>
      </c>
      <c r="L8" s="73">
        <f t="shared" si="2"/>
        <v>0</v>
      </c>
      <c r="M8" s="73">
        <f t="shared" si="3"/>
        <v>15</v>
      </c>
      <c r="N8" s="7" t="str">
        <f>IF(O8=""," ",VLOOKUP(O8,'[8]2012 личен състав ОТД'!$A:$AO,2,FALSE))</f>
        <v xml:space="preserve"> </v>
      </c>
      <c r="O8" s="3"/>
      <c r="P8" s="7" t="str">
        <f>IF(O8=""," ",VLOOKUP(O8,'[8]2012 личен състав ОТД'!$A:$AO,13,FALSE))</f>
        <v xml:space="preserve"> </v>
      </c>
      <c r="Q8" s="7" t="str">
        <f>IF(O8=""," ",VLOOKUP(O8,'[8]2012 личен състав ОТД'!$A:$AO,12,FALSE))</f>
        <v xml:space="preserve"> </v>
      </c>
      <c r="R8" s="7" t="str">
        <f>IF(A8=""," ",VLOOKUP(A8,'Профилиращ лист'!A:B,2,FALSE))</f>
        <v>ПЕД</v>
      </c>
      <c r="T8" s="3" t="e">
        <f t="shared" ca="1" si="4"/>
        <v>#VALUE!</v>
      </c>
    </row>
    <row r="9" spans="1:31" x14ac:dyDescent="0.25">
      <c r="A9" s="67" t="s">
        <v>19</v>
      </c>
      <c r="B9" s="4">
        <v>45</v>
      </c>
      <c r="C9" s="4">
        <v>60</v>
      </c>
      <c r="D9" s="4">
        <v>45</v>
      </c>
      <c r="E9" s="4">
        <v>15</v>
      </c>
      <c r="F9" s="4">
        <v>0</v>
      </c>
      <c r="G9" s="4">
        <f t="shared" si="5"/>
        <v>60</v>
      </c>
      <c r="H9" s="4">
        <f t="shared" si="0"/>
        <v>120</v>
      </c>
      <c r="I9" s="4">
        <v>4</v>
      </c>
      <c r="J9" s="4" t="s">
        <v>12</v>
      </c>
      <c r="K9" s="73">
        <f t="shared" si="1"/>
        <v>60</v>
      </c>
      <c r="L9" s="73">
        <f t="shared" si="2"/>
        <v>45</v>
      </c>
      <c r="M9" s="73">
        <f t="shared" si="3"/>
        <v>15</v>
      </c>
      <c r="N9" s="7" t="str">
        <f>IF(O9=""," ",VLOOKUP(O9,'[8]2012 личен състав ОТД'!$A:$AO,2,FALSE))</f>
        <v>проф. д-р Запрян Козлуджов</v>
      </c>
      <c r="O9" s="3" t="s">
        <v>458</v>
      </c>
      <c r="P9" s="7">
        <f>IF(O9=""," ",VLOOKUP(O9,'[8]2012 личен състав ОТД'!$A:$AO,13,FALSE))</f>
        <v>1959</v>
      </c>
      <c r="Q9" s="7" t="str">
        <f>IF(O9=""," ",VLOOKUP(O9,'[8]2012 личен състав ОТД'!$A:$AO,12,FALSE))</f>
        <v>ОТД</v>
      </c>
      <c r="R9" s="7" t="str">
        <f>IF(A9=""," ",VLOOKUP(A9,'Профилиращ лист'!A:B,2,FALSE))</f>
        <v>ОФД</v>
      </c>
      <c r="T9" s="3">
        <f t="shared" ca="1" si="4"/>
        <v>54</v>
      </c>
    </row>
    <row r="10" spans="1:31" x14ac:dyDescent="0.25">
      <c r="A10" s="67" t="s">
        <v>20</v>
      </c>
      <c r="B10" s="4">
        <v>45</v>
      </c>
      <c r="C10" s="4">
        <v>60</v>
      </c>
      <c r="D10" s="4">
        <v>45</v>
      </c>
      <c r="E10" s="4">
        <v>15</v>
      </c>
      <c r="F10" s="4">
        <v>0</v>
      </c>
      <c r="G10" s="4">
        <f t="shared" si="5"/>
        <v>60</v>
      </c>
      <c r="H10" s="4">
        <f t="shared" si="0"/>
        <v>120</v>
      </c>
      <c r="I10" s="4">
        <v>4</v>
      </c>
      <c r="J10" s="4" t="s">
        <v>12</v>
      </c>
      <c r="K10" s="73">
        <f t="shared" si="1"/>
        <v>60</v>
      </c>
      <c r="L10" s="73">
        <f t="shared" si="2"/>
        <v>45</v>
      </c>
      <c r="M10" s="73">
        <f t="shared" si="3"/>
        <v>15</v>
      </c>
      <c r="N10" s="7" t="str">
        <f>IF(O10=""," ",VLOOKUP(O10,'[8]2012 личен състав ОТД'!$A:$AO,2,FALSE))</f>
        <v>доц. д-р Иван Чобанов</v>
      </c>
      <c r="O10" s="3" t="s">
        <v>459</v>
      </c>
      <c r="P10" s="7">
        <f>IF(O10=""," ",VLOOKUP(O10,'[8]2012 личен състав ОТД'!$A:$AO,13,FALSE))</f>
        <v>1949</v>
      </c>
      <c r="Q10" s="7" t="str">
        <f>IF(O10=""," ",VLOOKUP(O10,'[8]2012 личен състав ОТД'!$A:$AO,12,FALSE))</f>
        <v>ОТД</v>
      </c>
      <c r="R10" s="7" t="str">
        <f>IF(A10=""," ",VLOOKUP(A10,'Профилиращ лист'!A:B,2,FALSE))</f>
        <v>ОФД</v>
      </c>
      <c r="T10" s="3">
        <f t="shared" ca="1" si="4"/>
        <v>64</v>
      </c>
    </row>
    <row r="11" spans="1:31" ht="18" customHeight="1" x14ac:dyDescent="0.25">
      <c r="A11" s="8"/>
      <c r="B11" s="9">
        <f t="shared" ref="B11:I11" si="6">SUM(B3:B10)</f>
        <v>300</v>
      </c>
      <c r="C11" s="9">
        <f t="shared" si="6"/>
        <v>360</v>
      </c>
      <c r="D11" s="9">
        <f t="shared" si="6"/>
        <v>135</v>
      </c>
      <c r="E11" s="9">
        <f t="shared" si="6"/>
        <v>60</v>
      </c>
      <c r="F11" s="9">
        <f t="shared" si="6"/>
        <v>165</v>
      </c>
      <c r="G11" s="9">
        <f t="shared" si="6"/>
        <v>540</v>
      </c>
      <c r="H11" s="9">
        <f t="shared" si="6"/>
        <v>900</v>
      </c>
      <c r="I11" s="9">
        <f t="shared" si="6"/>
        <v>30</v>
      </c>
      <c r="J11" s="6"/>
      <c r="K11" s="73">
        <f t="shared" si="1"/>
        <v>0</v>
      </c>
      <c r="L11" s="73">
        <f t="shared" si="2"/>
        <v>0</v>
      </c>
      <c r="M11" s="73">
        <f t="shared" si="3"/>
        <v>0</v>
      </c>
      <c r="N11" s="7" t="str">
        <f>IF(O11=""," ",VLOOKUP(O11,'[8]2012 личен състав ОТД'!$A:$AO,2,FALSE))</f>
        <v xml:space="preserve"> </v>
      </c>
      <c r="O11" s="3"/>
      <c r="P11" s="7" t="str">
        <f>IF(O11=""," ",VLOOKUP(O11,'[8]2012 личен състав ОТД'!$A:$AO,13,FALSE))</f>
        <v xml:space="preserve"> </v>
      </c>
      <c r="Q11" s="7" t="str">
        <f>IF(O11=""," ",VLOOKUP(O11,'[8]2012 личен състав ОТД'!$A:$AO,12,FALSE))</f>
        <v xml:space="preserve"> </v>
      </c>
      <c r="R11" s="7" t="str">
        <f>IF(A11=""," ",VLOOKUP(A11,'Профилиращ лист'!A:B,2,FALSE))</f>
        <v xml:space="preserve"> </v>
      </c>
      <c r="T11" s="3" t="e">
        <f t="shared" ca="1" si="4"/>
        <v>#VALUE!</v>
      </c>
    </row>
    <row r="12" spans="1:31" ht="18" customHeight="1" x14ac:dyDescent="0.25">
      <c r="A12" s="1" t="s">
        <v>22</v>
      </c>
      <c r="B12" s="1"/>
      <c r="J12" s="6"/>
      <c r="K12" s="73">
        <f t="shared" si="1"/>
        <v>0</v>
      </c>
      <c r="L12" s="73">
        <f t="shared" si="2"/>
        <v>0</v>
      </c>
      <c r="M12" s="73">
        <f t="shared" si="3"/>
        <v>0</v>
      </c>
      <c r="N12" s="7" t="str">
        <f>IF(O12=""," ",VLOOKUP(O12,'[8]2012 личен състав ОТД'!$A:$AO,2,FALSE))</f>
        <v xml:space="preserve"> </v>
      </c>
      <c r="O12" s="3"/>
      <c r="P12" s="7" t="str">
        <f>IF(O12=""," ",VLOOKUP(O12,'[8]2012 личен състав ОТД'!$A:$AO,13,FALSE))</f>
        <v xml:space="preserve"> </v>
      </c>
      <c r="Q12" s="7" t="str">
        <f>IF(O12=""," ",VLOOKUP(O12,'[8]2012 личен състав ОТД'!$A:$AO,12,FALSE))</f>
        <v xml:space="preserve"> </v>
      </c>
      <c r="T12" s="3" t="e">
        <f t="shared" ca="1" si="4"/>
        <v>#VALUE!</v>
      </c>
    </row>
    <row r="13" spans="1:31" x14ac:dyDescent="0.25">
      <c r="A13" s="67" t="s">
        <v>118</v>
      </c>
      <c r="B13" s="4">
        <v>15</v>
      </c>
      <c r="C13" s="4">
        <v>30</v>
      </c>
      <c r="D13" s="4">
        <v>30</v>
      </c>
      <c r="E13" s="4">
        <v>0</v>
      </c>
      <c r="F13" s="4">
        <v>0</v>
      </c>
      <c r="G13" s="4">
        <f>H13-C13</f>
        <v>60</v>
      </c>
      <c r="H13" s="4">
        <f t="shared" ref="H13:H20" si="7">I13*30</f>
        <v>90</v>
      </c>
      <c r="I13" s="4">
        <v>3</v>
      </c>
      <c r="J13" s="4" t="s">
        <v>12</v>
      </c>
      <c r="K13" s="73">
        <f t="shared" si="1"/>
        <v>30</v>
      </c>
      <c r="L13" s="73">
        <f t="shared" si="2"/>
        <v>30</v>
      </c>
      <c r="M13" s="73">
        <f t="shared" si="3"/>
        <v>0</v>
      </c>
      <c r="N13" s="7" t="str">
        <f>IF(O13=""," ",VLOOKUP(O13,'[8]2012 личен състав ОТД'!$A:$AO,2,FALSE))</f>
        <v>гл. ас. д-р Майя Кузова</v>
      </c>
      <c r="O13" s="3" t="s">
        <v>496</v>
      </c>
      <c r="P13" s="7">
        <f>IF(O13=""," ",VLOOKUP(O13,'[8]2012 личен състав ОТД'!$A:$AO,13,FALSE))</f>
        <v>1961</v>
      </c>
      <c r="Q13" s="7" t="str">
        <f>IF(O13=""," ",VLOOKUP(O13,'[8]2012 личен състав ОТД'!$A:$AO,12,FALSE))</f>
        <v>ОТД</v>
      </c>
      <c r="R13" s="7" t="s">
        <v>272</v>
      </c>
      <c r="T13" s="3">
        <f t="shared" ca="1" si="4"/>
        <v>52</v>
      </c>
    </row>
    <row r="14" spans="1:31" ht="18" customHeight="1" x14ac:dyDescent="0.25">
      <c r="A14" s="8" t="s">
        <v>27</v>
      </c>
      <c r="B14" s="4">
        <v>15</v>
      </c>
      <c r="C14" s="4">
        <v>30</v>
      </c>
      <c r="D14" s="4">
        <v>0</v>
      </c>
      <c r="E14" s="4">
        <v>0</v>
      </c>
      <c r="F14" s="4">
        <v>30</v>
      </c>
      <c r="G14" s="4">
        <f t="shared" ref="G14:G20" si="8">H14-C14</f>
        <v>30</v>
      </c>
      <c r="H14" s="4">
        <f t="shared" si="7"/>
        <v>60</v>
      </c>
      <c r="I14" s="4">
        <v>2</v>
      </c>
      <c r="J14" s="4" t="s">
        <v>18</v>
      </c>
      <c r="K14" s="73">
        <f t="shared" si="1"/>
        <v>30</v>
      </c>
      <c r="L14" s="73">
        <f t="shared" si="2"/>
        <v>0</v>
      </c>
      <c r="M14" s="73">
        <f t="shared" si="3"/>
        <v>30</v>
      </c>
      <c r="N14" s="7" t="str">
        <f>IF(O14=""," ",VLOOKUP(O14,'[8]2012 личен състав ОТД'!$A:$AO,2,FALSE))</f>
        <v xml:space="preserve"> </v>
      </c>
      <c r="O14" s="3"/>
      <c r="P14" s="7" t="str">
        <f>IF(O14=""," ",VLOOKUP(O14,'[8]2012 личен състав ОТД'!$A:$AO,13,FALSE))</f>
        <v xml:space="preserve"> </v>
      </c>
      <c r="Q14" s="7" t="str">
        <f>IF(O14=""," ",VLOOKUP(O14,'[8]2012 личен състав ОТД'!$A:$AO,12,FALSE))</f>
        <v xml:space="preserve"> </v>
      </c>
      <c r="R14" s="7" t="str">
        <f>IF(A14=""," ",VLOOKUP(A14,'Профилиращ лист'!A:B,2,FALSE))</f>
        <v>ФД</v>
      </c>
      <c r="T14" s="3" t="e">
        <f t="shared" ca="1" si="4"/>
        <v>#VALUE!</v>
      </c>
    </row>
    <row r="15" spans="1:31" x14ac:dyDescent="0.25">
      <c r="A15" s="67" t="s">
        <v>23</v>
      </c>
      <c r="B15" s="4">
        <v>45</v>
      </c>
      <c r="C15" s="4">
        <v>60</v>
      </c>
      <c r="D15" s="4">
        <v>45</v>
      </c>
      <c r="E15" s="4">
        <v>15</v>
      </c>
      <c r="F15" s="4">
        <v>0</v>
      </c>
      <c r="G15" s="4">
        <f t="shared" si="8"/>
        <v>90</v>
      </c>
      <c r="H15" s="4">
        <f t="shared" si="7"/>
        <v>150</v>
      </c>
      <c r="I15" s="4">
        <v>5</v>
      </c>
      <c r="J15" s="4" t="s">
        <v>12</v>
      </c>
      <c r="K15" s="73">
        <f t="shared" si="1"/>
        <v>60</v>
      </c>
      <c r="L15" s="73">
        <f t="shared" si="2"/>
        <v>45</v>
      </c>
      <c r="M15" s="73">
        <f t="shared" si="3"/>
        <v>15</v>
      </c>
      <c r="N15" s="7" t="str">
        <f>IF(O15=""," ",VLOOKUP(O15,'[8]2012 личен състав ОТД'!$A:$AO,2,FALSE))</f>
        <v>проф. д-р Пеньо Пенев</v>
      </c>
      <c r="O15" s="3" t="s">
        <v>483</v>
      </c>
      <c r="P15" s="7">
        <f>IF(O15=""," ",VLOOKUP(O15,'[8]2012 личен състав ОТД'!$A:$AO,13,FALSE))</f>
        <v>1946</v>
      </c>
      <c r="Q15" s="7" t="str">
        <f>IF(O15=""," ",VLOOKUP(O15,'[8]2012 личен състав ОТД'!$A:$AO,12,FALSE))</f>
        <v>ОТД</v>
      </c>
      <c r="R15" s="7" t="str">
        <f>IF(A15=""," ",VLOOKUP(A15,'Профилиращ лист'!A:B,2,FALSE))</f>
        <v>СПЕ</v>
      </c>
      <c r="S15" s="3" t="s">
        <v>5</v>
      </c>
      <c r="T15" s="3">
        <f t="shared" ca="1" si="4"/>
        <v>67</v>
      </c>
    </row>
    <row r="16" spans="1:31" x14ac:dyDescent="0.25">
      <c r="A16" s="67" t="s">
        <v>13</v>
      </c>
      <c r="B16" s="4">
        <v>30</v>
      </c>
      <c r="C16" s="4">
        <v>45</v>
      </c>
      <c r="D16" s="4">
        <v>15</v>
      </c>
      <c r="E16" s="4">
        <v>30</v>
      </c>
      <c r="F16" s="4">
        <v>0</v>
      </c>
      <c r="G16" s="4">
        <f t="shared" si="8"/>
        <v>75</v>
      </c>
      <c r="H16" s="4">
        <f t="shared" si="7"/>
        <v>120</v>
      </c>
      <c r="I16" s="4">
        <v>4</v>
      </c>
      <c r="J16" s="4" t="s">
        <v>12</v>
      </c>
      <c r="K16" s="73">
        <f t="shared" si="1"/>
        <v>90</v>
      </c>
      <c r="L16" s="73">
        <f t="shared" si="2"/>
        <v>30</v>
      </c>
      <c r="M16" s="73">
        <f t="shared" si="3"/>
        <v>60</v>
      </c>
      <c r="N16" s="7" t="str">
        <f>IF(O16=""," ",VLOOKUP(O16,'[8]2012 личен състав ОТД'!$A:$AO,2,FALSE))</f>
        <v>доц. д-р Христина Тончева</v>
      </c>
      <c r="O16" s="3" t="s">
        <v>461</v>
      </c>
      <c r="P16" s="7">
        <f>IF(O16=""," ",VLOOKUP(O16,'[8]2012 личен състав ОТД'!$A:$AO,13,FALSE))</f>
        <v>1968</v>
      </c>
      <c r="Q16" s="7" t="str">
        <f>IF(O16=""," ",VLOOKUP(O16,'[8]2012 личен състав ОТД'!$A:$AO,12,FALSE))</f>
        <v>ОТД</v>
      </c>
      <c r="R16" s="7" t="str">
        <f>IF(A16=""," ",VLOOKUP(A16,'Профилиращ лист'!A:B,2,FALSE))</f>
        <v>ОФД</v>
      </c>
      <c r="T16" s="3">
        <f t="shared" ca="1" si="4"/>
        <v>45</v>
      </c>
    </row>
    <row r="17" spans="1:20" x14ac:dyDescent="0.25">
      <c r="A17" s="67" t="s">
        <v>119</v>
      </c>
      <c r="B17" s="4">
        <v>30</v>
      </c>
      <c r="C17" s="4">
        <v>30</v>
      </c>
      <c r="D17" s="4">
        <v>30</v>
      </c>
      <c r="E17" s="4">
        <v>0</v>
      </c>
      <c r="F17" s="4">
        <v>0</v>
      </c>
      <c r="G17" s="4">
        <f t="shared" si="8"/>
        <v>60</v>
      </c>
      <c r="H17" s="4">
        <f t="shared" si="7"/>
        <v>90</v>
      </c>
      <c r="I17" s="4">
        <v>3</v>
      </c>
      <c r="J17" s="4" t="s">
        <v>12</v>
      </c>
      <c r="K17" s="73">
        <f t="shared" si="1"/>
        <v>30</v>
      </c>
      <c r="L17" s="73">
        <f t="shared" si="2"/>
        <v>30</v>
      </c>
      <c r="M17" s="73">
        <f t="shared" si="3"/>
        <v>0</v>
      </c>
      <c r="N17" s="7" t="str">
        <f>IF(O17=""," ",VLOOKUP(O17,'[8]2012 личен състав ОТД'!$A:$AO,2,FALSE))</f>
        <v>доц. д-р Станка Козарова</v>
      </c>
      <c r="O17" s="3" t="s">
        <v>462</v>
      </c>
      <c r="P17" s="7">
        <f>IF(O17=""," ",VLOOKUP(O17,'[8]2012 личен състав ОТД'!$A:$AO,13,FALSE))</f>
        <v>1959</v>
      </c>
      <c r="Q17" s="7" t="str">
        <f>IF(O17=""," ",VLOOKUP(O17,'[8]2012 личен състав ОТД'!$A:$AO,12,FALSE))</f>
        <v>ОТД</v>
      </c>
      <c r="R17" s="7" t="s">
        <v>265</v>
      </c>
      <c r="T17" s="3">
        <f t="shared" ca="1" si="4"/>
        <v>54</v>
      </c>
    </row>
    <row r="18" spans="1:20" ht="18" customHeight="1" x14ac:dyDescent="0.25">
      <c r="A18" s="8" t="s">
        <v>116</v>
      </c>
      <c r="B18" s="4">
        <v>90</v>
      </c>
      <c r="C18" s="4">
        <v>105</v>
      </c>
      <c r="D18" s="4">
        <v>0</v>
      </c>
      <c r="E18" s="4">
        <v>0</v>
      </c>
      <c r="F18" s="4">
        <v>105</v>
      </c>
      <c r="G18" s="4">
        <f t="shared" si="8"/>
        <v>105</v>
      </c>
      <c r="H18" s="4">
        <f t="shared" si="7"/>
        <v>210</v>
      </c>
      <c r="I18" s="4">
        <v>7</v>
      </c>
      <c r="J18" s="4" t="s">
        <v>12</v>
      </c>
      <c r="K18" s="73">
        <f t="shared" si="1"/>
        <v>630</v>
      </c>
      <c r="L18" s="73">
        <f t="shared" si="2"/>
        <v>0</v>
      </c>
      <c r="M18" s="73">
        <f t="shared" si="3"/>
        <v>630</v>
      </c>
      <c r="N18" s="7" t="str">
        <f>IF(O18=""," ",VLOOKUP(O18,'[8]2012 личен състав ОТД'!$A:$AO,2,FALSE))</f>
        <v xml:space="preserve"> </v>
      </c>
      <c r="O18" s="3"/>
      <c r="P18" s="7" t="str">
        <f>IF(O18=""," ",VLOOKUP(O18,'[8]2012 личен състав ОТД'!$A:$AO,13,FALSE))</f>
        <v xml:space="preserve"> </v>
      </c>
      <c r="Q18" s="7" t="str">
        <f>IF(O18=""," ",VLOOKUP(O18,'[8]2012 личен състав ОТД'!$A:$AO,12,FALSE))</f>
        <v xml:space="preserve"> </v>
      </c>
      <c r="R18" s="7" t="str">
        <f>IF(A18=""," ",VLOOKUP(A18,'Профилиращ лист'!A:B,2,FALSE))</f>
        <v>ПРА</v>
      </c>
      <c r="T18" s="3" t="e">
        <f t="shared" ca="1" si="4"/>
        <v>#VALUE!</v>
      </c>
    </row>
    <row r="19" spans="1:20" x14ac:dyDescent="0.25">
      <c r="A19" s="67" t="s">
        <v>26</v>
      </c>
      <c r="B19" s="4">
        <v>30</v>
      </c>
      <c r="C19" s="4">
        <v>45</v>
      </c>
      <c r="D19" s="4">
        <v>30</v>
      </c>
      <c r="E19" s="4">
        <v>15</v>
      </c>
      <c r="F19" s="4">
        <v>0</v>
      </c>
      <c r="G19" s="4">
        <f t="shared" si="8"/>
        <v>45</v>
      </c>
      <c r="H19" s="4">
        <f t="shared" si="7"/>
        <v>90</v>
      </c>
      <c r="I19" s="4">
        <v>3</v>
      </c>
      <c r="J19" s="4" t="s">
        <v>12</v>
      </c>
      <c r="K19" s="73">
        <f t="shared" si="1"/>
        <v>45</v>
      </c>
      <c r="L19" s="73">
        <f t="shared" si="2"/>
        <v>30</v>
      </c>
      <c r="M19" s="73">
        <f t="shared" si="3"/>
        <v>15</v>
      </c>
      <c r="N19" s="7" t="str">
        <f>IF(O19=""," ",VLOOKUP(O19,'[8]2012 личен състав ОТД'!$A:$AO,2,FALSE))</f>
        <v>доц. д-р Ваня Зидарова</v>
      </c>
      <c r="O19" s="3" t="s">
        <v>454</v>
      </c>
      <c r="P19" s="7">
        <f>IF(O19=""," ",VLOOKUP(O19,'[8]2012 личен състав ОТД'!$A:$AO,13,FALSE))</f>
        <v>1959</v>
      </c>
      <c r="Q19" s="7" t="str">
        <f>IF(O19=""," ",VLOOKUP(O19,'[8]2012 личен състав ОТД'!$A:$AO,12,FALSE))</f>
        <v>ОТД</v>
      </c>
      <c r="R19" s="7" t="str">
        <f>IF(A19=""," ",VLOOKUP(A19,'Профилиращ лист'!A:B,2,FALSE))</f>
        <v>ОФД</v>
      </c>
      <c r="T19" s="3">
        <f t="shared" ca="1" si="4"/>
        <v>54</v>
      </c>
    </row>
    <row r="20" spans="1:20" x14ac:dyDescent="0.25">
      <c r="A20" s="67" t="s">
        <v>120</v>
      </c>
      <c r="B20" s="4">
        <v>30</v>
      </c>
      <c r="C20" s="4">
        <v>45</v>
      </c>
      <c r="D20" s="4">
        <v>30</v>
      </c>
      <c r="E20" s="4">
        <v>15</v>
      </c>
      <c r="F20" s="4">
        <v>0</v>
      </c>
      <c r="G20" s="4">
        <f t="shared" si="8"/>
        <v>45</v>
      </c>
      <c r="H20" s="4">
        <f t="shared" si="7"/>
        <v>90</v>
      </c>
      <c r="I20" s="4">
        <v>3</v>
      </c>
      <c r="J20" s="4" t="s">
        <v>12</v>
      </c>
      <c r="K20" s="73">
        <f t="shared" si="1"/>
        <v>45</v>
      </c>
      <c r="L20" s="73">
        <f t="shared" si="2"/>
        <v>30</v>
      </c>
      <c r="M20" s="73">
        <f t="shared" si="3"/>
        <v>15</v>
      </c>
      <c r="N20" s="7" t="str">
        <f>IF(O20=""," ",VLOOKUP(O20,'[8]2012 личен състав ОТД'!$A:$AO,2,FALSE))</f>
        <v>проф. д-р Стефка Георгиева</v>
      </c>
      <c r="O20" s="3" t="s">
        <v>497</v>
      </c>
      <c r="P20" s="7">
        <f>IF(O20=""," ",VLOOKUP(O20,'[8]2012 личен състав ОТД'!$A:$AO,13,FALSE))</f>
        <v>1945</v>
      </c>
      <c r="Q20" s="7" t="str">
        <f>IF(O20=""," ",VLOOKUP(O20,'[8]2012 личен състав ОТД'!$A:$AO,12,FALSE))</f>
        <v>ОТД</v>
      </c>
      <c r="R20" s="7" t="str">
        <f>IF(A20=""," ",VLOOKUP(A20,'Профилиращ лист'!A:B,2,FALSE))</f>
        <v>СПЕ</v>
      </c>
      <c r="S20" s="3" t="s">
        <v>5</v>
      </c>
      <c r="T20" s="3">
        <f t="shared" ca="1" si="4"/>
        <v>68</v>
      </c>
    </row>
    <row r="21" spans="1:20" ht="18" customHeight="1" x14ac:dyDescent="0.25">
      <c r="A21" s="8" t="s">
        <v>29</v>
      </c>
      <c r="C21" s="4">
        <v>30</v>
      </c>
      <c r="D21" s="4">
        <v>0</v>
      </c>
      <c r="E21" s="4">
        <v>0</v>
      </c>
      <c r="F21" s="4">
        <f>C21-D21-E21</f>
        <v>30</v>
      </c>
      <c r="G21" s="4">
        <v>0</v>
      </c>
      <c r="H21" s="4">
        <v>0</v>
      </c>
      <c r="I21" s="5">
        <v>0</v>
      </c>
      <c r="J21" s="4" t="s">
        <v>14</v>
      </c>
      <c r="K21" s="73">
        <f t="shared" si="1"/>
        <v>60</v>
      </c>
      <c r="L21" s="73">
        <f t="shared" si="2"/>
        <v>0</v>
      </c>
      <c r="M21" s="73">
        <f t="shared" si="3"/>
        <v>60</v>
      </c>
      <c r="N21" s="7" t="str">
        <f>IF(O21=""," ",VLOOKUP(O21,'[8]2012 личен състав ОТД'!$A:$AO,2,FALSE))</f>
        <v xml:space="preserve"> </v>
      </c>
      <c r="O21" s="3"/>
      <c r="P21" s="7" t="str">
        <f>IF(O21=""," ",VLOOKUP(O21,'[8]2012 личен състав ОТД'!$A:$AO,13,FALSE))</f>
        <v xml:space="preserve"> </v>
      </c>
      <c r="Q21" s="7" t="str">
        <f>IF(O21=""," ",VLOOKUP(O21,'[8]2012 личен състав ОТД'!$A:$AO,12,FALSE))</f>
        <v xml:space="preserve"> </v>
      </c>
      <c r="T21" s="3" t="e">
        <f t="shared" ca="1" si="4"/>
        <v>#VALUE!</v>
      </c>
    </row>
    <row r="22" spans="1:20" ht="18" customHeight="1" x14ac:dyDescent="0.25">
      <c r="A22" s="8"/>
      <c r="B22" s="9">
        <f t="shared" ref="B22:I22" si="9">SUM(B13:B20)</f>
        <v>285</v>
      </c>
      <c r="C22" s="9">
        <f t="shared" si="9"/>
        <v>390</v>
      </c>
      <c r="D22" s="9">
        <f t="shared" si="9"/>
        <v>180</v>
      </c>
      <c r="E22" s="9">
        <f t="shared" si="9"/>
        <v>75</v>
      </c>
      <c r="F22" s="9">
        <f t="shared" si="9"/>
        <v>135</v>
      </c>
      <c r="G22" s="9">
        <f t="shared" si="9"/>
        <v>510</v>
      </c>
      <c r="H22" s="9">
        <f t="shared" si="9"/>
        <v>900</v>
      </c>
      <c r="I22" s="9">
        <f t="shared" si="9"/>
        <v>30</v>
      </c>
      <c r="J22" s="6"/>
      <c r="K22" s="73">
        <f t="shared" si="1"/>
        <v>0</v>
      </c>
      <c r="L22" s="73">
        <f t="shared" si="2"/>
        <v>0</v>
      </c>
      <c r="M22" s="73">
        <f t="shared" si="3"/>
        <v>0</v>
      </c>
      <c r="N22" s="7" t="str">
        <f>IF(O22=""," ",VLOOKUP(O22,'[8]2012 личен състав ОТД'!$A:$AO,2,FALSE))</f>
        <v xml:space="preserve"> </v>
      </c>
      <c r="O22" s="3"/>
      <c r="P22" s="7" t="str">
        <f>IF(O22=""," ",VLOOKUP(O22,'[8]2012 личен състав ОТД'!$A:$AO,13,FALSE))</f>
        <v xml:space="preserve"> </v>
      </c>
      <c r="Q22" s="7" t="str">
        <f>IF(O22=""," ",VLOOKUP(O22,'[8]2012 личен състав ОТД'!$A:$AO,12,FALSE))</f>
        <v xml:space="preserve"> </v>
      </c>
      <c r="T22" s="3" t="e">
        <f t="shared" ca="1" si="4"/>
        <v>#VALUE!</v>
      </c>
    </row>
    <row r="23" spans="1:20" ht="18" customHeight="1" x14ac:dyDescent="0.25">
      <c r="A23" s="1" t="s">
        <v>30</v>
      </c>
      <c r="B23" s="1"/>
      <c r="J23" s="6"/>
      <c r="K23" s="73">
        <f t="shared" si="1"/>
        <v>0</v>
      </c>
      <c r="L23" s="73">
        <f t="shared" si="2"/>
        <v>0</v>
      </c>
      <c r="M23" s="73">
        <f t="shared" si="3"/>
        <v>0</v>
      </c>
      <c r="N23" s="7" t="str">
        <f>IF(O23=""," ",VLOOKUP(O23,'[8]2012 личен състав ОТД'!$A:$AO,2,FALSE))</f>
        <v xml:space="preserve"> </v>
      </c>
      <c r="O23" s="3"/>
      <c r="P23" s="7" t="str">
        <f>IF(O23=""," ",VLOOKUP(O23,'[8]2012 личен състав ОТД'!$A:$AO,13,FALSE))</f>
        <v xml:space="preserve"> </v>
      </c>
      <c r="Q23" s="7" t="str">
        <f>IF(O23=""," ",VLOOKUP(O23,'[8]2012 личен състав ОТД'!$A:$AO,12,FALSE))</f>
        <v xml:space="preserve"> </v>
      </c>
      <c r="T23" s="3" t="e">
        <f t="shared" ca="1" si="4"/>
        <v>#VALUE!</v>
      </c>
    </row>
    <row r="24" spans="1:20" ht="18" customHeight="1" x14ac:dyDescent="0.25">
      <c r="A24" s="8" t="s">
        <v>31</v>
      </c>
      <c r="B24" s="4">
        <v>30</v>
      </c>
      <c r="C24" s="4">
        <v>30</v>
      </c>
      <c r="D24" s="4">
        <v>30</v>
      </c>
      <c r="E24" s="4">
        <v>0</v>
      </c>
      <c r="F24" s="4">
        <v>0</v>
      </c>
      <c r="G24" s="4">
        <f>H24-C24</f>
        <v>60</v>
      </c>
      <c r="H24" s="4">
        <f t="shared" ref="H24:H32" si="10">I24*30</f>
        <v>90</v>
      </c>
      <c r="I24" s="4">
        <v>3</v>
      </c>
      <c r="J24" s="4" t="s">
        <v>14</v>
      </c>
      <c r="K24" s="73">
        <f t="shared" si="1"/>
        <v>75</v>
      </c>
      <c r="L24" s="73">
        <f t="shared" si="2"/>
        <v>60</v>
      </c>
      <c r="M24" s="73">
        <f t="shared" si="3"/>
        <v>15</v>
      </c>
      <c r="N24" s="7" t="str">
        <f>IF(O24=""," ",VLOOKUP(O24,'[8]2012 личен състав ОТД'!$A:$AO,2,FALSE))</f>
        <v xml:space="preserve"> </v>
      </c>
      <c r="O24" s="3"/>
      <c r="P24" s="7" t="str">
        <f>IF(O24=""," ",VLOOKUP(O24,'[8]2012 личен състав ОТД'!$A:$AO,13,FALSE))</f>
        <v xml:space="preserve"> </v>
      </c>
      <c r="Q24" s="7" t="str">
        <f>IF(O24=""," ",VLOOKUP(O24,'[8]2012 личен състав ОТД'!$A:$AO,12,FALSE))</f>
        <v xml:space="preserve"> </v>
      </c>
      <c r="T24" s="3" t="e">
        <f t="shared" ca="1" si="4"/>
        <v>#VALUE!</v>
      </c>
    </row>
    <row r="25" spans="1:20" x14ac:dyDescent="0.25">
      <c r="A25" s="67" t="s">
        <v>121</v>
      </c>
      <c r="B25" s="4">
        <v>30</v>
      </c>
      <c r="C25" s="4">
        <v>30</v>
      </c>
      <c r="D25" s="4">
        <v>30</v>
      </c>
      <c r="E25" s="4">
        <v>0</v>
      </c>
      <c r="F25" s="4">
        <v>0</v>
      </c>
      <c r="G25" s="4">
        <f t="shared" ref="G25:G32" si="11">H25-C25</f>
        <v>30</v>
      </c>
      <c r="H25" s="4">
        <f t="shared" si="10"/>
        <v>60</v>
      </c>
      <c r="I25" s="4">
        <v>2</v>
      </c>
      <c r="J25" s="4" t="s">
        <v>12</v>
      </c>
      <c r="K25" s="73">
        <f t="shared" si="1"/>
        <v>30</v>
      </c>
      <c r="L25" s="73">
        <f t="shared" si="2"/>
        <v>30</v>
      </c>
      <c r="M25" s="73">
        <f t="shared" si="3"/>
        <v>0</v>
      </c>
      <c r="N25" s="7" t="str">
        <f>IF(O25=""," ",VLOOKUP(O25,'[8]2012 личен състав ОТД'!$A:$AO,2,FALSE))</f>
        <v>гл. ас. д-р Аделина Странджева</v>
      </c>
      <c r="O25" s="3" t="s">
        <v>456</v>
      </c>
      <c r="P25" s="7">
        <f>IF(O25=""," ",VLOOKUP(O25,'[8]2012 личен състав ОТД'!$A:$AO,13,FALSE))</f>
        <v>1960</v>
      </c>
      <c r="Q25" s="7" t="str">
        <f>IF(O25=""," ",VLOOKUP(O25,'[8]2012 личен състав ОТД'!$A:$AO,12,FALSE))</f>
        <v>ОТД</v>
      </c>
      <c r="R25" s="7" t="s">
        <v>272</v>
      </c>
      <c r="T25" s="3">
        <f t="shared" ca="1" si="4"/>
        <v>53</v>
      </c>
    </row>
    <row r="26" spans="1:20" x14ac:dyDescent="0.25">
      <c r="A26" s="67" t="s">
        <v>34</v>
      </c>
      <c r="B26" s="4">
        <v>60</v>
      </c>
      <c r="C26" s="4">
        <v>60</v>
      </c>
      <c r="D26" s="4">
        <v>45</v>
      </c>
      <c r="E26" s="4">
        <v>15</v>
      </c>
      <c r="F26" s="4">
        <v>0</v>
      </c>
      <c r="G26" s="4">
        <f t="shared" si="11"/>
        <v>60</v>
      </c>
      <c r="H26" s="4">
        <f t="shared" si="10"/>
        <v>120</v>
      </c>
      <c r="I26" s="4">
        <v>4</v>
      </c>
      <c r="J26" s="4" t="s">
        <v>12</v>
      </c>
      <c r="K26" s="73">
        <f t="shared" si="1"/>
        <v>60</v>
      </c>
      <c r="L26" s="73">
        <f t="shared" si="2"/>
        <v>45</v>
      </c>
      <c r="M26" s="73">
        <f t="shared" si="3"/>
        <v>15</v>
      </c>
      <c r="N26" s="7" t="str">
        <f>IF(O26=""," ",VLOOKUP(O26,'[8]2012 личен състав ОТД'!$A:$AO,2,FALSE))</f>
        <v>проф. д.п.н. Пламен Радев</v>
      </c>
      <c r="O26" s="3" t="str">
        <f>IF(A26=""," ",VLOOKUP(A26,'Български и английски език'!A:O,15,FALSE))</f>
        <v>радев</v>
      </c>
      <c r="P26" s="7">
        <f>IF(O26=""," ",VLOOKUP(O26,'[8]2012 личен състав ОТД'!$A:$AO,13,FALSE))</f>
        <v>1950</v>
      </c>
      <c r="Q26" s="7" t="str">
        <f>IF(O26=""," ",VLOOKUP(O26,'[8]2012 личен състав ОТД'!$A:$AO,12,FALSE))</f>
        <v>ОТД</v>
      </c>
      <c r="R26" s="7" t="str">
        <f>IF(A26=""," ",VLOOKUP(A26,'Профилиращ лист'!A:B,2,FALSE))</f>
        <v>ПЕД</v>
      </c>
      <c r="T26" s="3">
        <f t="shared" ca="1" si="4"/>
        <v>63</v>
      </c>
    </row>
    <row r="27" spans="1:20" ht="18" customHeight="1" x14ac:dyDescent="0.25">
      <c r="A27" s="8" t="s">
        <v>116</v>
      </c>
      <c r="B27" s="4">
        <v>90</v>
      </c>
      <c r="C27" s="4">
        <v>105</v>
      </c>
      <c r="D27" s="4">
        <v>0</v>
      </c>
      <c r="E27" s="4">
        <v>0</v>
      </c>
      <c r="F27" s="4">
        <v>105</v>
      </c>
      <c r="G27" s="4">
        <f t="shared" si="11"/>
        <v>135</v>
      </c>
      <c r="H27" s="4">
        <f t="shared" si="10"/>
        <v>240</v>
      </c>
      <c r="I27" s="4">
        <v>8</v>
      </c>
      <c r="J27" s="4" t="s">
        <v>14</v>
      </c>
      <c r="K27" s="73">
        <f t="shared" si="1"/>
        <v>630</v>
      </c>
      <c r="L27" s="73">
        <f t="shared" si="2"/>
        <v>0</v>
      </c>
      <c r="M27" s="73">
        <f t="shared" si="3"/>
        <v>630</v>
      </c>
      <c r="N27" s="7" t="str">
        <f>IF(O27=""," ",VLOOKUP(O27,'[8]2012 личен състав ОТД'!$A:$AO,2,FALSE))</f>
        <v xml:space="preserve"> </v>
      </c>
      <c r="O27" s="3"/>
      <c r="P27" s="7" t="str">
        <f>IF(O27=""," ",VLOOKUP(O27,'[8]2012 личен състав ОТД'!$A:$AO,13,FALSE))</f>
        <v xml:space="preserve"> </v>
      </c>
      <c r="Q27" s="7" t="str">
        <f>IF(O27=""," ",VLOOKUP(O27,'[8]2012 личен състав ОТД'!$A:$AO,12,FALSE))</f>
        <v xml:space="preserve"> </v>
      </c>
      <c r="R27" s="7" t="str">
        <f>IF(A27=""," ",VLOOKUP(A27,'Профилиращ лист'!A:B,2,FALSE))</f>
        <v>ПРА</v>
      </c>
      <c r="T27" s="3" t="e">
        <f t="shared" ca="1" si="4"/>
        <v>#VALUE!</v>
      </c>
    </row>
    <row r="28" spans="1:20" x14ac:dyDescent="0.25">
      <c r="A28" s="67" t="s">
        <v>35</v>
      </c>
      <c r="B28" s="4">
        <v>45</v>
      </c>
      <c r="C28" s="4">
        <v>45</v>
      </c>
      <c r="D28" s="4">
        <v>45</v>
      </c>
      <c r="E28" s="4">
        <v>0</v>
      </c>
      <c r="F28" s="4">
        <v>0</v>
      </c>
      <c r="G28" s="4">
        <f t="shared" si="11"/>
        <v>45</v>
      </c>
      <c r="H28" s="4">
        <f t="shared" si="10"/>
        <v>90</v>
      </c>
      <c r="I28" s="4">
        <v>3</v>
      </c>
      <c r="J28" s="4" t="s">
        <v>12</v>
      </c>
      <c r="K28" s="73">
        <f t="shared" si="1"/>
        <v>45</v>
      </c>
      <c r="L28" s="73">
        <f t="shared" si="2"/>
        <v>45</v>
      </c>
      <c r="M28" s="73">
        <f t="shared" si="3"/>
        <v>0</v>
      </c>
      <c r="N28" s="7" t="str">
        <f>IF(O28=""," ",VLOOKUP(O28,'[8]2012 личен състав ОТД'!$A:$AO,2,FALSE))</f>
        <v>проф. д.п.н. Румен Стаматов</v>
      </c>
      <c r="O28" s="3" t="str">
        <f>IF(A28=""," ",VLOOKUP(A28,'Български и английски език'!A:O,15,FALSE))</f>
        <v>стаматов</v>
      </c>
      <c r="P28" s="7">
        <f>IF(O28=""," ",VLOOKUP(O28,'[8]2012 личен състав ОТД'!$A:$AO,13,FALSE))</f>
        <v>1953</v>
      </c>
      <c r="Q28" s="7" t="str">
        <f>IF(O28=""," ",VLOOKUP(O28,'[8]2012 личен състав ОТД'!$A:$AO,12,FALSE))</f>
        <v>ОТД</v>
      </c>
      <c r="R28" s="7" t="str">
        <f>IF(A28=""," ",VLOOKUP(A28,'Профилиращ лист'!A:B,2,FALSE))</f>
        <v>ПЕД</v>
      </c>
      <c r="T28" s="3">
        <f t="shared" ca="1" si="4"/>
        <v>60</v>
      </c>
    </row>
    <row r="29" spans="1:20" x14ac:dyDescent="0.25">
      <c r="A29" s="67" t="s">
        <v>122</v>
      </c>
      <c r="B29" s="4">
        <v>30</v>
      </c>
      <c r="C29" s="4">
        <v>30</v>
      </c>
      <c r="D29" s="4">
        <v>15</v>
      </c>
      <c r="E29" s="4">
        <v>15</v>
      </c>
      <c r="F29" s="4">
        <v>0</v>
      </c>
      <c r="G29" s="4">
        <f t="shared" si="11"/>
        <v>30</v>
      </c>
      <c r="H29" s="4">
        <f t="shared" si="10"/>
        <v>60</v>
      </c>
      <c r="I29" s="4">
        <v>2</v>
      </c>
      <c r="J29" s="4" t="s">
        <v>12</v>
      </c>
      <c r="K29" s="73">
        <f t="shared" si="1"/>
        <v>30</v>
      </c>
      <c r="L29" s="73">
        <f t="shared" si="2"/>
        <v>15</v>
      </c>
      <c r="M29" s="73">
        <f t="shared" si="3"/>
        <v>15</v>
      </c>
      <c r="N29" s="7" t="str">
        <f>IF(O29=""," ",VLOOKUP(O29,'[8]2012 личен състав ОТД'!$A:$AO,2,FALSE))</f>
        <v>доц. д-р  Елена Томова</v>
      </c>
      <c r="O29" s="3" t="s">
        <v>498</v>
      </c>
      <c r="P29" s="7">
        <f>IF(O29=""," ",VLOOKUP(O29,'[8]2012 личен състав ОТД'!$A:$AO,13,FALSE))</f>
        <v>0</v>
      </c>
      <c r="Q29" s="7" t="str">
        <f>IF(O29=""," ",VLOOKUP(O29,'[8]2012 личен състав ОТД'!$A:$AO,12,FALSE))</f>
        <v>ХОН</v>
      </c>
      <c r="R29" s="7" t="str">
        <f>IF(A29=""," ",VLOOKUP(A29,'Профилиращ лист'!A:B,2,FALSE))</f>
        <v>СПЕ</v>
      </c>
      <c r="T29" s="3">
        <f t="shared" ca="1" si="4"/>
        <v>2013</v>
      </c>
    </row>
    <row r="30" spans="1:20" x14ac:dyDescent="0.25">
      <c r="A30" s="67" t="s">
        <v>37</v>
      </c>
      <c r="B30" s="4">
        <v>30</v>
      </c>
      <c r="C30" s="4">
        <v>45</v>
      </c>
      <c r="D30" s="4">
        <v>30</v>
      </c>
      <c r="E30" s="4">
        <v>15</v>
      </c>
      <c r="F30" s="4">
        <v>0</v>
      </c>
      <c r="G30" s="4">
        <f t="shared" si="11"/>
        <v>45</v>
      </c>
      <c r="H30" s="4">
        <f t="shared" si="10"/>
        <v>90</v>
      </c>
      <c r="I30" s="4">
        <v>3</v>
      </c>
      <c r="J30" s="4" t="s">
        <v>12</v>
      </c>
      <c r="K30" s="73">
        <f t="shared" si="1"/>
        <v>45</v>
      </c>
      <c r="L30" s="73">
        <f t="shared" si="2"/>
        <v>30</v>
      </c>
      <c r="M30" s="73">
        <f t="shared" si="3"/>
        <v>15</v>
      </c>
      <c r="N30" s="7" t="str">
        <f>IF(O30=""," ",VLOOKUP(O30,'[8]2012 личен състав ОТД'!$A:$AO,2,FALSE))</f>
        <v>гл. ас. д-р Иванка Гайдаджиева</v>
      </c>
      <c r="O30" s="3" t="str">
        <f>IF(A30=""," ",VLOOKUP(A30,'Български и английски език'!A:O,15,FALSE))</f>
        <v>гайдаджиева</v>
      </c>
      <c r="P30" s="7">
        <f>IF(O30=""," ",VLOOKUP(O30,'[8]2012 личен състав ОТД'!$A:$AO,13,FALSE))</f>
        <v>1958</v>
      </c>
      <c r="Q30" s="7" t="str">
        <f>IF(O30=""," ",VLOOKUP(O30,'[8]2012 личен състав ОТД'!$A:$AO,12,FALSE))</f>
        <v>ОТД</v>
      </c>
      <c r="R30" s="7" t="str">
        <f>IF(A30=""," ",VLOOKUP(A30,'Профилиращ лист'!A:B,2,FALSE))</f>
        <v>СПЕ</v>
      </c>
      <c r="T30" s="3">
        <f t="shared" ca="1" si="4"/>
        <v>55</v>
      </c>
    </row>
    <row r="31" spans="1:20" x14ac:dyDescent="0.25">
      <c r="A31" s="67" t="s">
        <v>123</v>
      </c>
      <c r="B31" s="4">
        <v>30</v>
      </c>
      <c r="C31" s="4">
        <v>45</v>
      </c>
      <c r="D31" s="4">
        <v>30</v>
      </c>
      <c r="E31" s="4">
        <v>15</v>
      </c>
      <c r="F31" s="4">
        <v>0</v>
      </c>
      <c r="G31" s="4">
        <f t="shared" si="11"/>
        <v>45</v>
      </c>
      <c r="H31" s="4">
        <f t="shared" si="10"/>
        <v>90</v>
      </c>
      <c r="I31" s="4">
        <v>3</v>
      </c>
      <c r="J31" s="4" t="s">
        <v>12</v>
      </c>
      <c r="K31" s="73">
        <f t="shared" si="1"/>
        <v>45</v>
      </c>
      <c r="L31" s="73">
        <f t="shared" si="2"/>
        <v>30</v>
      </c>
      <c r="M31" s="73">
        <f t="shared" si="3"/>
        <v>15</v>
      </c>
      <c r="N31" s="7" t="str">
        <f>IF(O31=""," ",VLOOKUP(O31,'[8]2012 личен състав ОТД'!$A:$AO,2,FALSE))</f>
        <v>проф. д-р Стефка Георгиева</v>
      </c>
      <c r="O31" s="3" t="s">
        <v>497</v>
      </c>
      <c r="P31" s="7">
        <f>IF(O31=""," ",VLOOKUP(O31,'[8]2012 личен състав ОТД'!$A:$AO,13,FALSE))</f>
        <v>1945</v>
      </c>
      <c r="Q31" s="7" t="str">
        <f>IF(O31=""," ",VLOOKUP(O31,'[8]2012 личен състав ОТД'!$A:$AO,12,FALSE))</f>
        <v>ОТД</v>
      </c>
      <c r="R31" s="7" t="str">
        <f>IF(A31=""," ",VLOOKUP(A31,'Профилиращ лист'!A:B,2,FALSE))</f>
        <v>СПЕ</v>
      </c>
      <c r="T31" s="3">
        <f t="shared" ca="1" si="4"/>
        <v>68</v>
      </c>
    </row>
    <row r="32" spans="1:20" ht="18" customHeight="1" x14ac:dyDescent="0.25">
      <c r="A32" s="8" t="s">
        <v>124</v>
      </c>
      <c r="B32" s="4">
        <v>15</v>
      </c>
      <c r="C32" s="4">
        <v>15</v>
      </c>
      <c r="D32" s="4">
        <v>0</v>
      </c>
      <c r="E32" s="4">
        <v>15</v>
      </c>
      <c r="F32" s="4">
        <v>0</v>
      </c>
      <c r="G32" s="4">
        <f t="shared" si="11"/>
        <v>45</v>
      </c>
      <c r="H32" s="4">
        <f t="shared" si="10"/>
        <v>60</v>
      </c>
      <c r="I32" s="4">
        <v>2</v>
      </c>
      <c r="J32" s="4" t="s">
        <v>18</v>
      </c>
      <c r="K32" s="73">
        <f t="shared" si="1"/>
        <v>15</v>
      </c>
      <c r="L32" s="73">
        <f t="shared" si="2"/>
        <v>0</v>
      </c>
      <c r="M32" s="73">
        <f t="shared" si="3"/>
        <v>15</v>
      </c>
      <c r="N32" s="7" t="str">
        <f>IF(O32=""," ",VLOOKUP(O32,'[8]2012 личен състав ОТД'!$A:$AO,2,FALSE))</f>
        <v xml:space="preserve"> </v>
      </c>
      <c r="O32" s="3"/>
      <c r="P32" s="7" t="str">
        <f>IF(O32=""," ",VLOOKUP(O32,'[8]2012 личен състав ОТД'!$A:$AO,13,FALSE))</f>
        <v xml:space="preserve"> </v>
      </c>
      <c r="Q32" s="7" t="str">
        <f>IF(O32=""," ",VLOOKUP(O32,'[8]2012 личен състав ОТД'!$A:$AO,12,FALSE))</f>
        <v xml:space="preserve"> </v>
      </c>
      <c r="R32" s="7" t="s">
        <v>272</v>
      </c>
      <c r="T32" s="3" t="e">
        <f t="shared" ca="1" si="4"/>
        <v>#VALUE!</v>
      </c>
    </row>
    <row r="33" spans="1:28" ht="18" customHeight="1" x14ac:dyDescent="0.25">
      <c r="A33" s="8" t="s">
        <v>29</v>
      </c>
      <c r="C33" s="4">
        <v>30</v>
      </c>
      <c r="D33" s="4">
        <v>0</v>
      </c>
      <c r="E33" s="4">
        <v>0</v>
      </c>
      <c r="F33" s="4">
        <f>C33-D33-E33</f>
        <v>30</v>
      </c>
      <c r="G33" s="4">
        <v>0</v>
      </c>
      <c r="H33" s="4">
        <v>0</v>
      </c>
      <c r="I33" s="4">
        <v>0</v>
      </c>
      <c r="J33" s="4" t="s">
        <v>14</v>
      </c>
      <c r="K33" s="73">
        <f t="shared" si="1"/>
        <v>60</v>
      </c>
      <c r="L33" s="73">
        <f t="shared" si="2"/>
        <v>0</v>
      </c>
      <c r="M33" s="73">
        <f t="shared" si="3"/>
        <v>60</v>
      </c>
      <c r="N33" s="7" t="str">
        <f>IF(O33=""," ",VLOOKUP(O33,'[8]2012 личен състав ОТД'!$A:$AO,2,FALSE))</f>
        <v xml:space="preserve"> </v>
      </c>
      <c r="O33" s="3"/>
      <c r="P33" s="7" t="str">
        <f>IF(O33=""," ",VLOOKUP(O33,'[8]2012 личен състав ОТД'!$A:$AO,13,FALSE))</f>
        <v xml:space="preserve"> </v>
      </c>
      <c r="Q33" s="7" t="str">
        <f>IF(O33=""," ",VLOOKUP(O33,'[8]2012 личен състав ОТД'!$A:$AO,12,FALSE))</f>
        <v xml:space="preserve"> </v>
      </c>
      <c r="T33" s="3" t="e">
        <f t="shared" ca="1" si="4"/>
        <v>#VALUE!</v>
      </c>
    </row>
    <row r="34" spans="1:28" ht="18" customHeight="1" x14ac:dyDescent="0.25">
      <c r="A34" s="8"/>
      <c r="B34" s="9">
        <f t="shared" ref="B34:I34" si="12">SUM(B24:B32)</f>
        <v>360</v>
      </c>
      <c r="C34" s="9">
        <f t="shared" si="12"/>
        <v>405</v>
      </c>
      <c r="D34" s="9">
        <f t="shared" si="12"/>
        <v>225</v>
      </c>
      <c r="E34" s="9">
        <f t="shared" si="12"/>
        <v>75</v>
      </c>
      <c r="F34" s="9">
        <f t="shared" si="12"/>
        <v>105</v>
      </c>
      <c r="G34" s="9">
        <f t="shared" si="12"/>
        <v>495</v>
      </c>
      <c r="H34" s="9">
        <f t="shared" si="12"/>
        <v>900</v>
      </c>
      <c r="I34" s="9">
        <f t="shared" si="12"/>
        <v>30</v>
      </c>
      <c r="J34" s="6"/>
      <c r="K34" s="73">
        <f t="shared" si="1"/>
        <v>0</v>
      </c>
      <c r="L34" s="73">
        <f t="shared" si="2"/>
        <v>0</v>
      </c>
      <c r="M34" s="73">
        <f t="shared" si="3"/>
        <v>0</v>
      </c>
      <c r="N34" s="7" t="str">
        <f>IF(O34=""," ",VLOOKUP(O34,'[8]2012 личен състав ОТД'!$A:$AO,2,FALSE))</f>
        <v xml:space="preserve"> </v>
      </c>
      <c r="O34" s="3"/>
      <c r="P34" s="7" t="str">
        <f>IF(O34=""," ",VLOOKUP(O34,'[8]2012 личен състав ОТД'!$A:$AO,13,FALSE))</f>
        <v xml:space="preserve"> </v>
      </c>
      <c r="Q34" s="7" t="str">
        <f>IF(O34=""," ",VLOOKUP(O34,'[8]2012 личен състав ОТД'!$A:$AO,12,FALSE))</f>
        <v xml:space="preserve"> </v>
      </c>
      <c r="T34" s="3" t="e">
        <f t="shared" ca="1" si="4"/>
        <v>#VALUE!</v>
      </c>
    </row>
    <row r="35" spans="1:28" ht="18" customHeight="1" x14ac:dyDescent="0.25">
      <c r="A35" s="1" t="s">
        <v>38</v>
      </c>
      <c r="B35" s="1"/>
      <c r="I35" s="4"/>
      <c r="J35" s="6"/>
      <c r="K35" s="73">
        <f t="shared" ref="K35:K66" si="13">SUMIF(A:A,A35,C:C)</f>
        <v>0</v>
      </c>
      <c r="L35" s="73">
        <f t="shared" ref="L35:L66" si="14">SUMIF(A:A,A35,D:D)</f>
        <v>0</v>
      </c>
      <c r="M35" s="73">
        <f t="shared" ref="M35:M66" si="15">SUMIF(A:A,A35,E:E)+SUMIF(A:A,A35,F:F)</f>
        <v>0</v>
      </c>
      <c r="N35" s="7" t="str">
        <f>IF(O35=""," ",VLOOKUP(O35,'[8]2012 личен състав ОТД'!$A:$AO,2,FALSE))</f>
        <v xml:space="preserve"> </v>
      </c>
      <c r="O35" s="3"/>
      <c r="P35" s="7" t="str">
        <f>IF(O35=""," ",VLOOKUP(O35,'[8]2012 личен състав ОТД'!$A:$AO,13,FALSE))</f>
        <v xml:space="preserve"> </v>
      </c>
      <c r="Q35" s="7" t="str">
        <f>IF(O35=""," ",VLOOKUP(O35,'[8]2012 личен състав ОТД'!$A:$AO,12,FALSE))</f>
        <v xml:space="preserve"> </v>
      </c>
      <c r="T35" s="3" t="e">
        <f t="shared" ref="T35:T66" ca="1" si="16">Години-P35</f>
        <v>#VALUE!</v>
      </c>
    </row>
    <row r="36" spans="1:28" ht="17.100000000000001" customHeight="1" x14ac:dyDescent="0.25">
      <c r="A36" s="8" t="s">
        <v>39</v>
      </c>
      <c r="B36" s="4">
        <v>45</v>
      </c>
      <c r="C36" s="4">
        <v>45</v>
      </c>
      <c r="D36" s="4">
        <v>30</v>
      </c>
      <c r="E36" s="4">
        <v>15</v>
      </c>
      <c r="F36" s="4">
        <v>0</v>
      </c>
      <c r="G36" s="4">
        <f>H36-C36</f>
        <v>75</v>
      </c>
      <c r="H36" s="4">
        <f t="shared" ref="H36:H43" si="17">I36*30</f>
        <v>120</v>
      </c>
      <c r="I36" s="4">
        <v>4</v>
      </c>
      <c r="J36" s="4" t="s">
        <v>14</v>
      </c>
      <c r="K36" s="73">
        <f t="shared" si="13"/>
        <v>105</v>
      </c>
      <c r="L36" s="73">
        <f t="shared" si="14"/>
        <v>60</v>
      </c>
      <c r="M36" s="73">
        <f t="shared" si="15"/>
        <v>45</v>
      </c>
      <c r="N36" s="7" t="str">
        <f>IF(O36=""," ",VLOOKUP(O36,'[8]2012 личен състав ОТД'!$A:$AO,2,FALSE))</f>
        <v xml:space="preserve"> </v>
      </c>
      <c r="O36" s="3"/>
      <c r="P36" s="7" t="str">
        <f>IF(O36=""," ",VLOOKUP(O36,'[8]2012 личен състав ОТД'!$A:$AO,13,FALSE))</f>
        <v xml:space="preserve"> </v>
      </c>
      <c r="Q36" s="7" t="str">
        <f>IF(O36=""," ",VLOOKUP(O36,'[8]2012 личен състав ОТД'!$A:$AO,12,FALSE))</f>
        <v xml:space="preserve"> </v>
      </c>
      <c r="T36" s="3" t="e">
        <f t="shared" ca="1" si="16"/>
        <v>#VALUE!</v>
      </c>
    </row>
    <row r="37" spans="1:28" x14ac:dyDescent="0.25">
      <c r="A37" s="67" t="s">
        <v>31</v>
      </c>
      <c r="B37" s="4">
        <v>30</v>
      </c>
      <c r="C37" s="4">
        <v>45</v>
      </c>
      <c r="D37" s="4">
        <v>30</v>
      </c>
      <c r="E37" s="4">
        <v>15</v>
      </c>
      <c r="F37" s="4">
        <v>0</v>
      </c>
      <c r="G37" s="4">
        <f t="shared" ref="G37:G43" si="18">H37-C37</f>
        <v>45</v>
      </c>
      <c r="H37" s="4">
        <f t="shared" si="17"/>
        <v>90</v>
      </c>
      <c r="I37" s="4">
        <v>3</v>
      </c>
      <c r="J37" s="4" t="s">
        <v>12</v>
      </c>
      <c r="K37" s="73">
        <f t="shared" si="13"/>
        <v>75</v>
      </c>
      <c r="L37" s="73">
        <f t="shared" si="14"/>
        <v>60</v>
      </c>
      <c r="M37" s="73">
        <f t="shared" si="15"/>
        <v>15</v>
      </c>
      <c r="N37" s="7" t="str">
        <f>IF(O37=""," ",VLOOKUP(O37,'[8]2012 личен състав ОТД'!$A:$AO,2,FALSE))</f>
        <v>доц. д-р Елена Гетова</v>
      </c>
      <c r="O37" s="3" t="s">
        <v>468</v>
      </c>
      <c r="P37" s="7">
        <f>IF(O37=""," ",VLOOKUP(O37,'[8]2012 личен състав ОТД'!$A:$AO,13,FALSE))</f>
        <v>1969</v>
      </c>
      <c r="Q37" s="7" t="str">
        <f>IF(O37=""," ",VLOOKUP(O37,'[8]2012 личен състав ОТД'!$A:$AO,12,FALSE))</f>
        <v>ОТД</v>
      </c>
      <c r="R37" s="7" t="str">
        <f>IF(A37=""," ",VLOOKUP(A37,'Профилиращ лист'!A:B,2,FALSE))</f>
        <v>СПЕ</v>
      </c>
      <c r="S37" s="3" t="s">
        <v>5</v>
      </c>
      <c r="T37" s="3">
        <f t="shared" ca="1" si="16"/>
        <v>44</v>
      </c>
    </row>
    <row r="38" spans="1:28" x14ac:dyDescent="0.25">
      <c r="A38" s="67" t="s">
        <v>40</v>
      </c>
      <c r="B38" s="8">
        <v>30</v>
      </c>
      <c r="C38" s="4">
        <v>45</v>
      </c>
      <c r="D38" s="4">
        <v>30</v>
      </c>
      <c r="E38" s="4">
        <v>15</v>
      </c>
      <c r="F38" s="4">
        <f>C38-D38-E38</f>
        <v>0</v>
      </c>
      <c r="G38" s="4">
        <f t="shared" si="18"/>
        <v>45</v>
      </c>
      <c r="H38" s="4">
        <f t="shared" si="17"/>
        <v>90</v>
      </c>
      <c r="I38" s="4">
        <v>3</v>
      </c>
      <c r="J38" s="4" t="s">
        <v>12</v>
      </c>
      <c r="K38" s="73">
        <f t="shared" si="13"/>
        <v>45</v>
      </c>
      <c r="L38" s="73">
        <f t="shared" si="14"/>
        <v>30</v>
      </c>
      <c r="M38" s="73">
        <f t="shared" si="15"/>
        <v>15</v>
      </c>
      <c r="N38" s="7" t="str">
        <f>IF(O38=""," ",VLOOKUP(O38,'[8]2012 личен състав ОТД'!$A:$AO,2,FALSE))</f>
        <v>проф. дфн Диана Иванова</v>
      </c>
      <c r="O38" s="3" t="str">
        <f>IF(A38=""," ",VLOOKUP(A38,'Български и английски език'!A:O,15,FALSE))</f>
        <v>диванова</v>
      </c>
      <c r="P38" s="7">
        <f>IF(O38=""," ",VLOOKUP(O38,'[8]2012 личен състав ОТД'!$A:$AO,13,FALSE))</f>
        <v>1950</v>
      </c>
      <c r="Q38" s="7" t="str">
        <f>IF(O38=""," ",VLOOKUP(O38,'[8]2012 личен състав ОТД'!$A:$AO,12,FALSE))</f>
        <v>ОТД</v>
      </c>
      <c r="R38" s="7" t="str">
        <f>IF(A38=""," ",VLOOKUP(A38,'Профилиращ лист'!A:B,2,FALSE))</f>
        <v>СПЕ</v>
      </c>
      <c r="S38" s="3" t="s">
        <v>5</v>
      </c>
      <c r="T38" s="3">
        <f t="shared" ca="1" si="16"/>
        <v>63</v>
      </c>
    </row>
    <row r="39" spans="1:28" ht="17.100000000000001" customHeight="1" x14ac:dyDescent="0.25">
      <c r="A39" s="8" t="s">
        <v>116</v>
      </c>
      <c r="B39" s="4">
        <v>90</v>
      </c>
      <c r="C39" s="4">
        <v>75</v>
      </c>
      <c r="D39" s="4">
        <v>0</v>
      </c>
      <c r="E39" s="4">
        <v>0</v>
      </c>
      <c r="F39" s="4">
        <v>75</v>
      </c>
      <c r="G39" s="4">
        <f t="shared" si="18"/>
        <v>165</v>
      </c>
      <c r="H39" s="4">
        <f t="shared" si="17"/>
        <v>240</v>
      </c>
      <c r="I39" s="4">
        <v>8</v>
      </c>
      <c r="J39" s="4" t="s">
        <v>12</v>
      </c>
      <c r="K39" s="73">
        <f t="shared" si="13"/>
        <v>630</v>
      </c>
      <c r="L39" s="73">
        <f t="shared" si="14"/>
        <v>0</v>
      </c>
      <c r="M39" s="73">
        <f t="shared" si="15"/>
        <v>630</v>
      </c>
      <c r="N39" s="7" t="str">
        <f>IF(O39=""," ",VLOOKUP(O39,'[8]2012 личен състав ОТД'!$A:$AO,2,FALSE))</f>
        <v xml:space="preserve"> </v>
      </c>
      <c r="O39" s="3"/>
      <c r="P39" s="7" t="str">
        <f>IF(O39=""," ",VLOOKUP(O39,'[8]2012 личен състав ОТД'!$A:$AO,13,FALSE))</f>
        <v xml:space="preserve"> </v>
      </c>
      <c r="Q39" s="7" t="str">
        <f>IF(O39=""," ",VLOOKUP(O39,'[8]2012 личен състав ОТД'!$A:$AO,12,FALSE))</f>
        <v xml:space="preserve"> </v>
      </c>
      <c r="R39" s="7" t="str">
        <f>IF(A39=""," ",VLOOKUP(A39,'Профилиращ лист'!A:B,2,FALSE))</f>
        <v>ПРА</v>
      </c>
      <c r="T39" s="3" t="e">
        <f t="shared" ca="1" si="16"/>
        <v>#VALUE!</v>
      </c>
    </row>
    <row r="40" spans="1:28" x14ac:dyDescent="0.25">
      <c r="A40" s="67" t="s">
        <v>125</v>
      </c>
      <c r="B40" s="4">
        <v>30</v>
      </c>
      <c r="C40" s="4">
        <v>30</v>
      </c>
      <c r="D40" s="4">
        <v>15</v>
      </c>
      <c r="E40" s="4">
        <v>15</v>
      </c>
      <c r="F40" s="4">
        <v>0</v>
      </c>
      <c r="G40" s="4">
        <f t="shared" si="18"/>
        <v>60</v>
      </c>
      <c r="H40" s="4">
        <f t="shared" si="17"/>
        <v>90</v>
      </c>
      <c r="I40" s="4">
        <v>3</v>
      </c>
      <c r="J40" s="4" t="s">
        <v>12</v>
      </c>
      <c r="K40" s="73">
        <f t="shared" si="13"/>
        <v>30</v>
      </c>
      <c r="L40" s="73">
        <f t="shared" si="14"/>
        <v>15</v>
      </c>
      <c r="M40" s="73">
        <f t="shared" si="15"/>
        <v>15</v>
      </c>
      <c r="N40" s="7" t="str">
        <f>IF(O40=""," ",VLOOKUP(O40,'[8]2012 личен състав ОТД'!$A:$AO,2,FALSE))</f>
        <v>доц. д-р  Елена Томова</v>
      </c>
      <c r="O40" s="3" t="s">
        <v>498</v>
      </c>
      <c r="P40" s="7">
        <f>IF(O40=""," ",VLOOKUP(O40,'[8]2012 личен състав ОТД'!$A:$AO,13,FALSE))</f>
        <v>0</v>
      </c>
      <c r="Q40" s="7" t="str">
        <f>IF(O40=""," ",VLOOKUP(O40,'[8]2012 личен състав ОТД'!$A:$AO,12,FALSE))</f>
        <v>ХОН</v>
      </c>
      <c r="R40" s="7" t="s">
        <v>255</v>
      </c>
      <c r="T40" s="3">
        <f t="shared" ca="1" si="16"/>
        <v>2013</v>
      </c>
    </row>
    <row r="41" spans="1:28" ht="17.100000000000001" customHeight="1" x14ac:dyDescent="0.25">
      <c r="A41" s="8" t="s">
        <v>44</v>
      </c>
      <c r="B41" s="4">
        <v>30</v>
      </c>
      <c r="C41" s="4">
        <v>45</v>
      </c>
      <c r="D41" s="4">
        <v>30</v>
      </c>
      <c r="E41" s="4">
        <v>15</v>
      </c>
      <c r="F41" s="4">
        <v>0</v>
      </c>
      <c r="G41" s="4">
        <f t="shared" si="18"/>
        <v>45</v>
      </c>
      <c r="H41" s="4">
        <f t="shared" si="17"/>
        <v>90</v>
      </c>
      <c r="I41" s="4">
        <v>3</v>
      </c>
      <c r="J41" s="4" t="s">
        <v>14</v>
      </c>
      <c r="K41" s="73">
        <f t="shared" si="13"/>
        <v>90</v>
      </c>
      <c r="L41" s="73">
        <f t="shared" si="14"/>
        <v>60</v>
      </c>
      <c r="M41" s="73">
        <f t="shared" si="15"/>
        <v>30</v>
      </c>
      <c r="N41" s="7" t="str">
        <f>IF(O41=""," ",VLOOKUP(O41,'[8]2012 личен състав ОТД'!$A:$AO,2,FALSE))</f>
        <v xml:space="preserve"> </v>
      </c>
      <c r="O41" s="3"/>
      <c r="P41" s="7" t="str">
        <f>IF(O41=""," ",VLOOKUP(O41,'[8]2012 личен състав ОТД'!$A:$AO,13,FALSE))</f>
        <v xml:space="preserve"> </v>
      </c>
      <c r="Q41" s="7" t="str">
        <f>IF(O41=""," ",VLOOKUP(O41,'[8]2012 личен състав ОТД'!$A:$AO,12,FALSE))</f>
        <v xml:space="preserve"> </v>
      </c>
      <c r="T41" s="3" t="e">
        <f t="shared" ca="1" si="16"/>
        <v>#VALUE!</v>
      </c>
    </row>
    <row r="42" spans="1:28" ht="17.100000000000001" customHeight="1" x14ac:dyDescent="0.25">
      <c r="A42" s="8" t="s">
        <v>126</v>
      </c>
      <c r="B42" s="4">
        <v>30</v>
      </c>
      <c r="C42" s="4">
        <v>30</v>
      </c>
      <c r="D42" s="4">
        <v>15</v>
      </c>
      <c r="E42" s="4">
        <v>15</v>
      </c>
      <c r="F42" s="4">
        <v>0</v>
      </c>
      <c r="G42" s="4">
        <f t="shared" si="18"/>
        <v>60</v>
      </c>
      <c r="H42" s="4">
        <f t="shared" si="17"/>
        <v>90</v>
      </c>
      <c r="I42" s="4">
        <v>3</v>
      </c>
      <c r="J42" s="4" t="s">
        <v>14</v>
      </c>
      <c r="K42" s="73">
        <f t="shared" si="13"/>
        <v>60</v>
      </c>
      <c r="L42" s="73">
        <f t="shared" si="14"/>
        <v>30</v>
      </c>
      <c r="M42" s="73">
        <f t="shared" si="15"/>
        <v>30</v>
      </c>
      <c r="N42" s="7" t="str">
        <f>IF(O42=""," ",VLOOKUP(O42,'[8]2012 личен състав ОТД'!$A:$AO,2,FALSE))</f>
        <v xml:space="preserve"> </v>
      </c>
      <c r="O42" s="3"/>
      <c r="P42" s="7" t="str">
        <f>IF(O42=""," ",VLOOKUP(O42,'[8]2012 личен състав ОТД'!$A:$AO,13,FALSE))</f>
        <v xml:space="preserve"> </v>
      </c>
      <c r="Q42" s="7" t="str">
        <f>IF(O42=""," ",VLOOKUP(O42,'[8]2012 личен състав ОТД'!$A:$AO,12,FALSE))</f>
        <v xml:space="preserve"> </v>
      </c>
      <c r="T42" s="3" t="e">
        <f t="shared" ca="1" si="16"/>
        <v>#VALUE!</v>
      </c>
    </row>
    <row r="43" spans="1:28" x14ac:dyDescent="0.25">
      <c r="A43" s="77" t="s">
        <v>127</v>
      </c>
      <c r="B43" s="4">
        <v>30</v>
      </c>
      <c r="C43" s="4">
        <v>15</v>
      </c>
      <c r="D43" s="4">
        <v>15</v>
      </c>
      <c r="E43" s="4">
        <v>0</v>
      </c>
      <c r="F43" s="4">
        <v>0</v>
      </c>
      <c r="G43" s="4">
        <f t="shared" si="18"/>
        <v>75</v>
      </c>
      <c r="H43" s="4">
        <f t="shared" si="17"/>
        <v>90</v>
      </c>
      <c r="I43" s="4">
        <v>3</v>
      </c>
      <c r="J43" s="4" t="s">
        <v>12</v>
      </c>
      <c r="K43" s="73">
        <f t="shared" si="13"/>
        <v>15</v>
      </c>
      <c r="L43" s="73">
        <f t="shared" si="14"/>
        <v>15</v>
      </c>
      <c r="M43" s="73">
        <f t="shared" si="15"/>
        <v>0</v>
      </c>
      <c r="N43" s="7" t="str">
        <f>IF(O43=""," ",VLOOKUP(O43,'[8]2012 личен състав ОТД'!$A:$AO,2,FALSE))</f>
        <v>гл. ас. д-р Юлиана Чакърова-Бурлакова</v>
      </c>
      <c r="O43" s="3" t="s">
        <v>499</v>
      </c>
      <c r="P43" s="7">
        <f>IF(O43=""," ",VLOOKUP(O43,'[8]2012 личен състав ОТД'!$A:$AO,13,FALSE))</f>
        <v>1964</v>
      </c>
      <c r="Q43" s="7" t="str">
        <f>IF(O43=""," ",VLOOKUP(O43,'[8]2012 личен състав ОТД'!$A:$AO,12,FALSE))</f>
        <v>ОТД</v>
      </c>
      <c r="R43" s="7" t="str">
        <f>IF(A43=""," ",VLOOKUP(A43,'Профилиращ лист'!A:B,2,FALSE))</f>
        <v>СПЕ</v>
      </c>
      <c r="T43" s="3">
        <f t="shared" ca="1" si="16"/>
        <v>49</v>
      </c>
      <c r="AB43" s="7" t="s">
        <v>574</v>
      </c>
    </row>
    <row r="44" spans="1:28" ht="18" customHeight="1" x14ac:dyDescent="0.25">
      <c r="A44" s="8"/>
      <c r="B44" s="9">
        <f t="shared" ref="B44:I44" si="19">SUM(B36:B43)</f>
        <v>315</v>
      </c>
      <c r="C44" s="9">
        <f t="shared" si="19"/>
        <v>330</v>
      </c>
      <c r="D44" s="9">
        <f t="shared" si="19"/>
        <v>165</v>
      </c>
      <c r="E44" s="9">
        <f t="shared" si="19"/>
        <v>90</v>
      </c>
      <c r="F44" s="9">
        <f t="shared" si="19"/>
        <v>75</v>
      </c>
      <c r="G44" s="9">
        <f t="shared" si="19"/>
        <v>570</v>
      </c>
      <c r="H44" s="9">
        <f t="shared" si="19"/>
        <v>900</v>
      </c>
      <c r="I44" s="9">
        <f t="shared" si="19"/>
        <v>30</v>
      </c>
      <c r="J44" s="6"/>
      <c r="K44" s="73">
        <f t="shared" si="13"/>
        <v>0</v>
      </c>
      <c r="L44" s="73">
        <f t="shared" si="14"/>
        <v>0</v>
      </c>
      <c r="M44" s="73">
        <f t="shared" si="15"/>
        <v>0</v>
      </c>
      <c r="N44" s="7" t="str">
        <f>IF(O44=""," ",VLOOKUP(O44,'[8]2012 личен състав ОТД'!$A:$AO,2,FALSE))</f>
        <v xml:space="preserve"> </v>
      </c>
      <c r="O44" s="3"/>
      <c r="P44" s="7" t="str">
        <f>IF(O44=""," ",VLOOKUP(O44,'[8]2012 личен състав ОТД'!$A:$AO,13,FALSE))</f>
        <v xml:space="preserve"> </v>
      </c>
      <c r="Q44" s="7" t="str">
        <f>IF(O44=""," ",VLOOKUP(O44,'[8]2012 личен състав ОТД'!$A:$AO,12,FALSE))</f>
        <v xml:space="preserve"> </v>
      </c>
      <c r="T44" s="3" t="e">
        <f t="shared" ca="1" si="16"/>
        <v>#VALUE!</v>
      </c>
    </row>
    <row r="45" spans="1:28" ht="14.1" customHeight="1" x14ac:dyDescent="0.25">
      <c r="A45" s="1" t="s">
        <v>46</v>
      </c>
      <c r="B45" s="1"/>
      <c r="J45" s="6"/>
      <c r="K45" s="73">
        <f t="shared" si="13"/>
        <v>0</v>
      </c>
      <c r="L45" s="73">
        <f t="shared" si="14"/>
        <v>0</v>
      </c>
      <c r="M45" s="73">
        <f t="shared" si="15"/>
        <v>0</v>
      </c>
      <c r="N45" s="7" t="str">
        <f>IF(O45=""," ",VLOOKUP(O45,'[8]2012 личен състав ОТД'!$A:$AO,2,FALSE))</f>
        <v xml:space="preserve"> </v>
      </c>
      <c r="O45" s="3"/>
      <c r="P45" s="7" t="str">
        <f>IF(O45=""," ",VLOOKUP(O45,'[8]2012 личен състав ОТД'!$A:$AO,13,FALSE))</f>
        <v xml:space="preserve"> </v>
      </c>
      <c r="Q45" s="7" t="str">
        <f>IF(O45=""," ",VLOOKUP(O45,'[8]2012 личен състав ОТД'!$A:$AO,12,FALSE))</f>
        <v xml:space="preserve"> </v>
      </c>
      <c r="T45" s="3" t="e">
        <f t="shared" ca="1" si="16"/>
        <v>#VALUE!</v>
      </c>
    </row>
    <row r="46" spans="1:28" x14ac:dyDescent="0.25">
      <c r="A46" s="67" t="s">
        <v>39</v>
      </c>
      <c r="B46" s="4">
        <v>30</v>
      </c>
      <c r="C46" s="4">
        <v>60</v>
      </c>
      <c r="D46" s="4">
        <v>30</v>
      </c>
      <c r="E46" s="4">
        <v>30</v>
      </c>
      <c r="F46" s="4">
        <v>0</v>
      </c>
      <c r="G46" s="4">
        <f>H46-C46</f>
        <v>30</v>
      </c>
      <c r="H46" s="4">
        <f t="shared" ref="H46:H54" si="20">I46*30</f>
        <v>90</v>
      </c>
      <c r="I46" s="4">
        <v>3</v>
      </c>
      <c r="J46" s="4" t="s">
        <v>12</v>
      </c>
      <c r="K46" s="73">
        <f t="shared" si="13"/>
        <v>105</v>
      </c>
      <c r="L46" s="73">
        <f t="shared" si="14"/>
        <v>60</v>
      </c>
      <c r="M46" s="73">
        <f t="shared" si="15"/>
        <v>45</v>
      </c>
      <c r="N46" s="7" t="str">
        <f>IF(O46=""," ",VLOOKUP(O46,'[8]2012 личен състав ОТД'!$A:$AO,2,FALSE))</f>
        <v>доц. д-р Светла Черпокова-Захариева</v>
      </c>
      <c r="O46" s="3" t="s">
        <v>472</v>
      </c>
      <c r="P46" s="7">
        <f>IF(O46=""," ",VLOOKUP(O46,'[8]2012 личен състав ОТД'!$A:$AO,13,FALSE))</f>
        <v>1967</v>
      </c>
      <c r="Q46" s="7" t="str">
        <f>IF(O46=""," ",VLOOKUP(O46,'[8]2012 личен състав ОТД'!$A:$AO,12,FALSE))</f>
        <v>ОТД</v>
      </c>
      <c r="R46" s="7" t="str">
        <f>IF(A46=""," ",VLOOKUP(A46,'Профилиращ лист'!A:B,2,FALSE))</f>
        <v>СПЕ</v>
      </c>
      <c r="S46" s="3" t="s">
        <v>5</v>
      </c>
      <c r="T46" s="3">
        <f t="shared" ca="1" si="16"/>
        <v>46</v>
      </c>
    </row>
    <row r="47" spans="1:28" ht="14.1" customHeight="1" x14ac:dyDescent="0.25">
      <c r="A47" s="8" t="s">
        <v>47</v>
      </c>
      <c r="B47" s="4">
        <v>30</v>
      </c>
      <c r="C47" s="4">
        <v>30</v>
      </c>
      <c r="D47" s="4">
        <v>30</v>
      </c>
      <c r="E47" s="4">
        <v>0</v>
      </c>
      <c r="F47" s="4">
        <v>0</v>
      </c>
      <c r="G47" s="4">
        <f t="shared" ref="G47:G54" si="21">H47-C47</f>
        <v>60</v>
      </c>
      <c r="H47" s="4">
        <f t="shared" si="20"/>
        <v>90</v>
      </c>
      <c r="I47" s="4">
        <v>3</v>
      </c>
      <c r="J47" s="4" t="s">
        <v>14</v>
      </c>
      <c r="K47" s="73">
        <f t="shared" si="13"/>
        <v>90</v>
      </c>
      <c r="L47" s="73">
        <f t="shared" si="14"/>
        <v>60</v>
      </c>
      <c r="M47" s="73">
        <f t="shared" si="15"/>
        <v>30</v>
      </c>
      <c r="N47" s="7" t="str">
        <f>IF(O47=""," ",VLOOKUP(O47,'[8]2012 личен състав ОТД'!$A:$AO,2,FALSE))</f>
        <v xml:space="preserve"> </v>
      </c>
      <c r="O47" s="3"/>
      <c r="P47" s="7" t="str">
        <f>IF(O47=""," ",VLOOKUP(O47,'[8]2012 личен състав ОТД'!$A:$AO,13,FALSE))</f>
        <v xml:space="preserve"> </v>
      </c>
      <c r="Q47" s="7" t="str">
        <f>IF(O47=""," ",VLOOKUP(O47,'[8]2012 личен състав ОТД'!$A:$AO,12,FALSE))</f>
        <v xml:space="preserve"> </v>
      </c>
      <c r="T47" s="3" t="e">
        <f t="shared" ca="1" si="16"/>
        <v>#VALUE!</v>
      </c>
    </row>
    <row r="48" spans="1:28" ht="14.1" customHeight="1" x14ac:dyDescent="0.25">
      <c r="A48" s="8" t="s">
        <v>49</v>
      </c>
      <c r="B48" s="4">
        <v>45</v>
      </c>
      <c r="C48" s="4">
        <v>30</v>
      </c>
      <c r="D48" s="4">
        <v>30</v>
      </c>
      <c r="E48" s="4">
        <v>0</v>
      </c>
      <c r="F48" s="4">
        <v>0</v>
      </c>
      <c r="G48" s="4">
        <f t="shared" si="21"/>
        <v>60</v>
      </c>
      <c r="H48" s="4">
        <f t="shared" si="20"/>
        <v>90</v>
      </c>
      <c r="I48" s="4">
        <v>3</v>
      </c>
      <c r="J48" s="4" t="s">
        <v>14</v>
      </c>
      <c r="K48" s="73">
        <f t="shared" si="13"/>
        <v>75</v>
      </c>
      <c r="L48" s="73">
        <f t="shared" si="14"/>
        <v>60</v>
      </c>
      <c r="M48" s="73">
        <f t="shared" si="15"/>
        <v>15</v>
      </c>
      <c r="N48" s="7" t="str">
        <f>IF(O48=""," ",VLOOKUP(O48,'[8]2012 личен състав ОТД'!$A:$AO,2,FALSE))</f>
        <v xml:space="preserve"> </v>
      </c>
      <c r="O48" s="3"/>
      <c r="P48" s="7" t="str">
        <f>IF(O48=""," ",VLOOKUP(O48,'[8]2012 личен състав ОТД'!$A:$AO,13,FALSE))</f>
        <v xml:space="preserve"> </v>
      </c>
      <c r="Q48" s="7" t="str">
        <f>IF(O48=""," ",VLOOKUP(O48,'[8]2012 личен състав ОТД'!$A:$AO,12,FALSE))</f>
        <v xml:space="preserve"> </v>
      </c>
      <c r="T48" s="3" t="e">
        <f t="shared" ca="1" si="16"/>
        <v>#VALUE!</v>
      </c>
    </row>
    <row r="49" spans="1:20" ht="14.1" customHeight="1" x14ac:dyDescent="0.25">
      <c r="A49" s="8" t="s">
        <v>116</v>
      </c>
      <c r="B49" s="4">
        <v>90</v>
      </c>
      <c r="C49" s="4">
        <v>105</v>
      </c>
      <c r="D49" s="4">
        <v>0</v>
      </c>
      <c r="E49" s="4">
        <v>0</v>
      </c>
      <c r="F49" s="4">
        <v>105</v>
      </c>
      <c r="G49" s="4">
        <f t="shared" si="21"/>
        <v>105</v>
      </c>
      <c r="H49" s="4">
        <f t="shared" si="20"/>
        <v>210</v>
      </c>
      <c r="I49" s="4">
        <v>7</v>
      </c>
      <c r="J49" s="4" t="s">
        <v>14</v>
      </c>
      <c r="K49" s="73">
        <f t="shared" si="13"/>
        <v>630</v>
      </c>
      <c r="L49" s="73">
        <f t="shared" si="14"/>
        <v>0</v>
      </c>
      <c r="M49" s="73">
        <f t="shared" si="15"/>
        <v>630</v>
      </c>
      <c r="N49" s="7" t="str">
        <f>IF(O49=""," ",VLOOKUP(O49,'[8]2012 личен състав ОТД'!$A:$AO,2,FALSE))</f>
        <v xml:space="preserve"> </v>
      </c>
      <c r="O49" s="3"/>
      <c r="P49" s="7" t="str">
        <f>IF(O49=""," ",VLOOKUP(O49,'[8]2012 личен състав ОТД'!$A:$AO,13,FALSE))</f>
        <v xml:space="preserve"> </v>
      </c>
      <c r="Q49" s="7" t="str">
        <f>IF(O49=""," ",VLOOKUP(O49,'[8]2012 личен състав ОТД'!$A:$AO,12,FALSE))</f>
        <v xml:space="preserve"> </v>
      </c>
      <c r="R49" s="7" t="str">
        <f>IF(A49=""," ",VLOOKUP(A49,'Профилиращ лист'!A:B,2,FALSE))</f>
        <v>ПРА</v>
      </c>
      <c r="T49" s="3" t="e">
        <f t="shared" ca="1" si="16"/>
        <v>#VALUE!</v>
      </c>
    </row>
    <row r="50" spans="1:20" ht="14.1" customHeight="1" x14ac:dyDescent="0.25">
      <c r="A50" s="8" t="s">
        <v>128</v>
      </c>
      <c r="B50" s="8">
        <v>30</v>
      </c>
      <c r="C50" s="4">
        <v>45</v>
      </c>
      <c r="D50" s="4">
        <v>30</v>
      </c>
      <c r="E50" s="4">
        <v>15</v>
      </c>
      <c r="F50" s="4">
        <f>C50-D50-E50</f>
        <v>0</v>
      </c>
      <c r="G50" s="4">
        <f t="shared" si="21"/>
        <v>75</v>
      </c>
      <c r="H50" s="4">
        <f t="shared" si="20"/>
        <v>120</v>
      </c>
      <c r="I50" s="4">
        <v>4</v>
      </c>
      <c r="J50" s="4" t="s">
        <v>14</v>
      </c>
      <c r="K50" s="73">
        <f t="shared" si="13"/>
        <v>75</v>
      </c>
      <c r="L50" s="73">
        <f t="shared" si="14"/>
        <v>45</v>
      </c>
      <c r="M50" s="73">
        <f t="shared" si="15"/>
        <v>30</v>
      </c>
      <c r="N50" s="7" t="str">
        <f>IF(O50=""," ",VLOOKUP(O50,'[8]2012 личен състав ОТД'!$A:$AO,2,FALSE))</f>
        <v xml:space="preserve"> </v>
      </c>
      <c r="O50" s="3"/>
      <c r="P50" s="7" t="str">
        <f>IF(O50=""," ",VLOOKUP(O50,'[8]2012 личен състав ОТД'!$A:$AO,13,FALSE))</f>
        <v xml:space="preserve"> </v>
      </c>
      <c r="Q50" s="7" t="str">
        <f>IF(O50=""," ",VLOOKUP(O50,'[8]2012 личен състав ОТД'!$A:$AO,12,FALSE))</f>
        <v xml:space="preserve"> </v>
      </c>
      <c r="T50" s="3" t="e">
        <f t="shared" ca="1" si="16"/>
        <v>#VALUE!</v>
      </c>
    </row>
    <row r="51" spans="1:20" ht="14.1" customHeight="1" x14ac:dyDescent="0.25">
      <c r="A51" s="8" t="s">
        <v>129</v>
      </c>
      <c r="B51" s="8">
        <v>30</v>
      </c>
      <c r="C51" s="4">
        <v>30</v>
      </c>
      <c r="D51" s="4">
        <v>30</v>
      </c>
      <c r="E51" s="4">
        <v>0</v>
      </c>
      <c r="F51" s="4">
        <f>C51-D51-E51</f>
        <v>0</v>
      </c>
      <c r="G51" s="4">
        <f t="shared" si="21"/>
        <v>30</v>
      </c>
      <c r="H51" s="4">
        <f t="shared" si="20"/>
        <v>60</v>
      </c>
      <c r="I51" s="4">
        <v>2</v>
      </c>
      <c r="J51" s="4" t="s">
        <v>14</v>
      </c>
      <c r="K51" s="73">
        <f t="shared" si="13"/>
        <v>60</v>
      </c>
      <c r="L51" s="73">
        <f t="shared" si="14"/>
        <v>60</v>
      </c>
      <c r="M51" s="73">
        <f t="shared" si="15"/>
        <v>0</v>
      </c>
      <c r="N51" s="7" t="str">
        <f>IF(O51=""," ",VLOOKUP(O51,'[8]2012 личен състав ОТД'!$A:$AO,2,FALSE))</f>
        <v xml:space="preserve"> </v>
      </c>
      <c r="O51" s="3"/>
      <c r="P51" s="7" t="str">
        <f>IF(O51=""," ",VLOOKUP(O51,'[8]2012 личен състав ОТД'!$A:$AO,13,FALSE))</f>
        <v xml:space="preserve"> </v>
      </c>
      <c r="Q51" s="7" t="str">
        <f>IF(O51=""," ",VLOOKUP(O51,'[8]2012 личен състав ОТД'!$A:$AO,12,FALSE))</f>
        <v xml:space="preserve"> </v>
      </c>
      <c r="T51" s="3" t="e">
        <f t="shared" ca="1" si="16"/>
        <v>#VALUE!</v>
      </c>
    </row>
    <row r="52" spans="1:20" x14ac:dyDescent="0.25">
      <c r="A52" s="67" t="s">
        <v>44</v>
      </c>
      <c r="B52" s="4">
        <v>45</v>
      </c>
      <c r="C52" s="4">
        <v>45</v>
      </c>
      <c r="D52" s="4">
        <v>30</v>
      </c>
      <c r="E52" s="4">
        <v>15</v>
      </c>
      <c r="F52" s="4">
        <v>0</v>
      </c>
      <c r="G52" s="4">
        <f t="shared" si="21"/>
        <v>45</v>
      </c>
      <c r="H52" s="4">
        <f t="shared" si="20"/>
        <v>90</v>
      </c>
      <c r="I52" s="4">
        <v>3</v>
      </c>
      <c r="J52" s="4" t="s">
        <v>12</v>
      </c>
      <c r="K52" s="73">
        <f t="shared" si="13"/>
        <v>90</v>
      </c>
      <c r="L52" s="73">
        <f t="shared" si="14"/>
        <v>60</v>
      </c>
      <c r="M52" s="73">
        <f t="shared" si="15"/>
        <v>30</v>
      </c>
      <c r="N52" s="7" t="str">
        <f>IF(O52=""," ",VLOOKUP(O52,'[8]2012 личен състав ОТД'!$A:$AO,2,FALSE))</f>
        <v>доц. д-р Константин Куцаров</v>
      </c>
      <c r="O52" s="3" t="s">
        <v>491</v>
      </c>
      <c r="P52" s="7">
        <f>IF(O52=""," ",VLOOKUP(O52,'[8]2012 личен състав ОТД'!$A:$AO,13,FALSE))</f>
        <v>1968</v>
      </c>
      <c r="Q52" s="7" t="str">
        <f>IF(O52=""," ",VLOOKUP(O52,'[8]2012 личен състав ОТД'!$A:$AO,12,FALSE))</f>
        <v>ОТД</v>
      </c>
      <c r="R52" s="7" t="str">
        <f>IF(A52=""," ",VLOOKUP(A52,'Профилиращ лист'!A:B,2,FALSE))</f>
        <v>СПЕ</v>
      </c>
      <c r="S52" s="3" t="s">
        <v>5</v>
      </c>
      <c r="T52" s="3">
        <f t="shared" ca="1" si="16"/>
        <v>45</v>
      </c>
    </row>
    <row r="53" spans="1:20" ht="14.1" customHeight="1" x14ac:dyDescent="0.25">
      <c r="A53" s="8" t="s">
        <v>55</v>
      </c>
      <c r="B53" s="4">
        <v>30</v>
      </c>
      <c r="C53" s="4">
        <v>30</v>
      </c>
      <c r="D53" s="4">
        <v>0</v>
      </c>
      <c r="E53" s="4">
        <v>0</v>
      </c>
      <c r="F53" s="4">
        <v>30</v>
      </c>
      <c r="G53" s="4">
        <f t="shared" si="21"/>
        <v>30</v>
      </c>
      <c r="H53" s="4">
        <f t="shared" si="20"/>
        <v>60</v>
      </c>
      <c r="I53" s="4">
        <v>2</v>
      </c>
      <c r="J53" s="4" t="s">
        <v>18</v>
      </c>
      <c r="K53" s="73">
        <f t="shared" si="13"/>
        <v>30</v>
      </c>
      <c r="L53" s="73">
        <f t="shared" si="14"/>
        <v>0</v>
      </c>
      <c r="M53" s="73">
        <f t="shared" si="15"/>
        <v>30</v>
      </c>
      <c r="N53" s="7" t="str">
        <f>IF(O53=""," ",VLOOKUP(O53,'[8]2012 личен състав ОТД'!$A:$AO,2,FALSE))</f>
        <v xml:space="preserve"> </v>
      </c>
      <c r="O53" s="3"/>
      <c r="P53" s="7" t="str">
        <f>IF(O53=""," ",VLOOKUP(O53,'[8]2012 личен състав ОТД'!$A:$AO,13,FALSE))</f>
        <v xml:space="preserve"> </v>
      </c>
      <c r="Q53" s="7" t="str">
        <f>IF(O53=""," ",VLOOKUP(O53,'[8]2012 личен състав ОТД'!$A:$AO,12,FALSE))</f>
        <v xml:space="preserve"> </v>
      </c>
      <c r="R53" s="7" t="str">
        <f>IF(A53=""," ",VLOOKUP(A53,'Профилиращ лист'!A:B,2,FALSE))</f>
        <v>ФД</v>
      </c>
      <c r="T53" s="3" t="e">
        <f t="shared" ca="1" si="16"/>
        <v>#VALUE!</v>
      </c>
    </row>
    <row r="54" spans="1:20" x14ac:dyDescent="0.25">
      <c r="A54" s="67" t="s">
        <v>126</v>
      </c>
      <c r="B54" s="4">
        <v>30</v>
      </c>
      <c r="C54" s="4">
        <v>30</v>
      </c>
      <c r="D54" s="4">
        <v>15</v>
      </c>
      <c r="E54" s="4">
        <v>15</v>
      </c>
      <c r="F54" s="4">
        <v>0</v>
      </c>
      <c r="G54" s="4">
        <f t="shared" si="21"/>
        <v>60</v>
      </c>
      <c r="H54" s="4">
        <f t="shared" si="20"/>
        <v>90</v>
      </c>
      <c r="I54" s="4">
        <v>3</v>
      </c>
      <c r="J54" s="4" t="s">
        <v>12</v>
      </c>
      <c r="K54" s="73">
        <f t="shared" si="13"/>
        <v>60</v>
      </c>
      <c r="L54" s="73">
        <f t="shared" si="14"/>
        <v>30</v>
      </c>
      <c r="M54" s="73">
        <f t="shared" si="15"/>
        <v>30</v>
      </c>
      <c r="N54" s="7" t="str">
        <f>IF(O54=""," ",VLOOKUP(O54,'[8]2012 личен състав ОТД'!$A:$AO,2,FALSE))</f>
        <v>проф. д-р Стефка Георгиева</v>
      </c>
      <c r="O54" s="3" t="s">
        <v>497</v>
      </c>
      <c r="P54" s="7">
        <f>IF(O54=""," ",VLOOKUP(O54,'[8]2012 личен състав ОТД'!$A:$AO,13,FALSE))</f>
        <v>1945</v>
      </c>
      <c r="Q54" s="7" t="str">
        <f>IF(O54=""," ",VLOOKUP(O54,'[8]2012 личен състав ОТД'!$A:$AO,12,FALSE))</f>
        <v>ОТД</v>
      </c>
      <c r="R54" s="7" t="str">
        <f>IF(A54=""," ",VLOOKUP(A54,'Профилиращ лист'!A:B,2,FALSE))</f>
        <v>СПЕ</v>
      </c>
      <c r="S54" s="3" t="s">
        <v>5</v>
      </c>
      <c r="T54" s="3">
        <f t="shared" ca="1" si="16"/>
        <v>68</v>
      </c>
    </row>
    <row r="55" spans="1:20" ht="14.1" customHeight="1" x14ac:dyDescent="0.25">
      <c r="A55" s="8"/>
      <c r="B55" s="9">
        <f t="shared" ref="B55:I55" si="22">SUM(B46:B54)</f>
        <v>360</v>
      </c>
      <c r="C55" s="9">
        <f t="shared" si="22"/>
        <v>405</v>
      </c>
      <c r="D55" s="9">
        <f t="shared" si="22"/>
        <v>195</v>
      </c>
      <c r="E55" s="9">
        <f t="shared" si="22"/>
        <v>75</v>
      </c>
      <c r="F55" s="9">
        <f t="shared" si="22"/>
        <v>135</v>
      </c>
      <c r="G55" s="9">
        <f t="shared" si="22"/>
        <v>495</v>
      </c>
      <c r="H55" s="9">
        <f t="shared" si="22"/>
        <v>900</v>
      </c>
      <c r="I55" s="9">
        <f t="shared" si="22"/>
        <v>30</v>
      </c>
      <c r="J55" s="6"/>
      <c r="K55" s="73">
        <f t="shared" si="13"/>
        <v>0</v>
      </c>
      <c r="L55" s="73">
        <f t="shared" si="14"/>
        <v>0</v>
      </c>
      <c r="M55" s="73">
        <f t="shared" si="15"/>
        <v>0</v>
      </c>
      <c r="N55" s="7" t="str">
        <f>IF(O55=""," ",VLOOKUP(O55,'[8]2012 личен състав ОТД'!$A:$AO,2,FALSE))</f>
        <v xml:space="preserve"> </v>
      </c>
      <c r="O55" s="3"/>
      <c r="P55" s="7" t="str">
        <f>IF(O55=""," ",VLOOKUP(O55,'[8]2012 личен състав ОТД'!$A:$AO,13,FALSE))</f>
        <v xml:space="preserve"> </v>
      </c>
      <c r="Q55" s="7" t="str">
        <f>IF(O55=""," ",VLOOKUP(O55,'[8]2012 личен състав ОТД'!$A:$AO,12,FALSE))</f>
        <v xml:space="preserve"> </v>
      </c>
      <c r="T55" s="3" t="e">
        <f t="shared" ca="1" si="16"/>
        <v>#VALUE!</v>
      </c>
    </row>
    <row r="56" spans="1:20" ht="14.1" customHeight="1" x14ac:dyDescent="0.25">
      <c r="A56" s="1" t="s">
        <v>51</v>
      </c>
      <c r="B56" s="1"/>
      <c r="J56" s="6"/>
      <c r="K56" s="73">
        <f t="shared" si="13"/>
        <v>0</v>
      </c>
      <c r="L56" s="73">
        <f t="shared" si="14"/>
        <v>0</v>
      </c>
      <c r="M56" s="73">
        <f t="shared" si="15"/>
        <v>0</v>
      </c>
      <c r="N56" s="7" t="str">
        <f>IF(O56=""," ",VLOOKUP(O56,'[8]2012 личен състав ОТД'!$A:$AO,2,FALSE))</f>
        <v xml:space="preserve"> </v>
      </c>
      <c r="O56" s="3"/>
      <c r="P56" s="7" t="str">
        <f>IF(O56=""," ",VLOOKUP(O56,'[8]2012 личен състав ОТД'!$A:$AO,13,FALSE))</f>
        <v xml:space="preserve"> </v>
      </c>
      <c r="Q56" s="7" t="str">
        <f>IF(O56=""," ",VLOOKUP(O56,'[8]2012 личен състав ОТД'!$A:$AO,12,FALSE))</f>
        <v xml:space="preserve"> </v>
      </c>
      <c r="T56" s="3" t="e">
        <f t="shared" ca="1" si="16"/>
        <v>#VALUE!</v>
      </c>
    </row>
    <row r="57" spans="1:20" x14ac:dyDescent="0.25">
      <c r="A57" s="67" t="s">
        <v>47</v>
      </c>
      <c r="B57" s="4">
        <v>45</v>
      </c>
      <c r="C57" s="4">
        <v>60</v>
      </c>
      <c r="D57" s="4">
        <v>30</v>
      </c>
      <c r="E57" s="4">
        <v>30</v>
      </c>
      <c r="F57" s="4">
        <v>0</v>
      </c>
      <c r="G57" s="4">
        <f>H57-C57</f>
        <v>60</v>
      </c>
      <c r="H57" s="4">
        <f t="shared" ref="H57:H66" si="23">I57*30</f>
        <v>120</v>
      </c>
      <c r="I57" s="4">
        <v>4</v>
      </c>
      <c r="J57" s="4" t="s">
        <v>12</v>
      </c>
      <c r="K57" s="73">
        <f t="shared" si="13"/>
        <v>90</v>
      </c>
      <c r="L57" s="73">
        <f t="shared" si="14"/>
        <v>60</v>
      </c>
      <c r="M57" s="73">
        <f t="shared" si="15"/>
        <v>30</v>
      </c>
      <c r="N57" s="7" t="str">
        <f>IF(O57=""," ",VLOOKUP(O57,'[8]2012 личен състав ОТД'!$A:$AO,2,FALSE))</f>
        <v>доц. д-р Иван Русков</v>
      </c>
      <c r="O57" s="3" t="s">
        <v>492</v>
      </c>
      <c r="P57" s="7">
        <f>IF(O57=""," ",VLOOKUP(O57,'[8]2012 личен състав ОТД'!$A:$AO,13,FALSE))</f>
        <v>1960</v>
      </c>
      <c r="Q57" s="7" t="str">
        <f>IF(O57=""," ",VLOOKUP(O57,'[8]2012 личен състав ОТД'!$A:$AO,12,FALSE))</f>
        <v>ОТД</v>
      </c>
      <c r="R57" s="7" t="str">
        <f>IF(A57=""," ",VLOOKUP(A57,'Профилиращ лист'!A:B,2,FALSE))</f>
        <v>СПЕ</v>
      </c>
      <c r="S57" s="3" t="s">
        <v>5</v>
      </c>
      <c r="T57" s="3">
        <f t="shared" ca="1" si="16"/>
        <v>53</v>
      </c>
    </row>
    <row r="58" spans="1:20" x14ac:dyDescent="0.25">
      <c r="A58" s="67" t="s">
        <v>49</v>
      </c>
      <c r="B58" s="4">
        <v>45</v>
      </c>
      <c r="C58" s="4">
        <v>45</v>
      </c>
      <c r="D58" s="4">
        <v>30</v>
      </c>
      <c r="E58" s="4">
        <v>15</v>
      </c>
      <c r="F58" s="4">
        <v>0</v>
      </c>
      <c r="G58" s="4">
        <f t="shared" ref="G58:G66" si="24">H58-C58</f>
        <v>75</v>
      </c>
      <c r="H58" s="4">
        <f t="shared" si="23"/>
        <v>120</v>
      </c>
      <c r="I58" s="4">
        <v>4</v>
      </c>
      <c r="J58" s="4" t="s">
        <v>12</v>
      </c>
      <c r="K58" s="73">
        <f t="shared" si="13"/>
        <v>75</v>
      </c>
      <c r="L58" s="73">
        <f t="shared" si="14"/>
        <v>60</v>
      </c>
      <c r="M58" s="73">
        <f t="shared" si="15"/>
        <v>15</v>
      </c>
      <c r="N58" s="7" t="str">
        <f>IF(O58=""," ",VLOOKUP(O58,'[8]2012 личен състав ОТД'!$A:$AO,2,FALSE))</f>
        <v>доц. д-р Христина Тончева</v>
      </c>
      <c r="O58" s="3" t="s">
        <v>461</v>
      </c>
      <c r="P58" s="7">
        <f>IF(O58=""," ",VLOOKUP(O58,'[8]2012 личен състав ОТД'!$A:$AO,13,FALSE))</f>
        <v>1968</v>
      </c>
      <c r="Q58" s="7" t="str">
        <f>IF(O58=""," ",VLOOKUP(O58,'[8]2012 личен състав ОТД'!$A:$AO,12,FALSE))</f>
        <v>ОТД</v>
      </c>
      <c r="R58" s="7" t="str">
        <f>IF(A58=""," ",VLOOKUP(A58,'Профилиращ лист'!A:B,2,FALSE))</f>
        <v>ОФД</v>
      </c>
      <c r="T58" s="3">
        <f t="shared" ca="1" si="16"/>
        <v>45</v>
      </c>
    </row>
    <row r="59" spans="1:20" x14ac:dyDescent="0.25">
      <c r="A59" s="67" t="s">
        <v>130</v>
      </c>
      <c r="B59" s="4">
        <v>30</v>
      </c>
      <c r="C59" s="4">
        <v>30</v>
      </c>
      <c r="D59" s="4">
        <v>15</v>
      </c>
      <c r="E59" s="4">
        <v>15</v>
      </c>
      <c r="F59" s="4">
        <v>0</v>
      </c>
      <c r="G59" s="4">
        <f t="shared" si="24"/>
        <v>60</v>
      </c>
      <c r="H59" s="4">
        <f t="shared" si="23"/>
        <v>90</v>
      </c>
      <c r="I59" s="4">
        <v>3</v>
      </c>
      <c r="J59" s="4" t="s">
        <v>12</v>
      </c>
      <c r="K59" s="73">
        <f t="shared" si="13"/>
        <v>30</v>
      </c>
      <c r="L59" s="73">
        <f t="shared" si="14"/>
        <v>15</v>
      </c>
      <c r="M59" s="73">
        <f t="shared" si="15"/>
        <v>15</v>
      </c>
      <c r="N59" s="7" t="str">
        <f>IF(O59=""," ",VLOOKUP(O59,'[8]2012 личен състав ОТД'!$A:$AO,2,FALSE))</f>
        <v>гл. ас. д-р Надя Чернева</v>
      </c>
      <c r="O59" s="3" t="s">
        <v>501</v>
      </c>
      <c r="P59" s="7">
        <f>IF(O59=""," ",VLOOKUP(O59,'[8]2012 личен състав ОТД'!$A:$AO,13,FALSE))</f>
        <v>1961</v>
      </c>
      <c r="Q59" s="7" t="str">
        <f>IF(O59=""," ",VLOOKUP(O59,'[8]2012 личен състав ОТД'!$A:$AO,12,FALSE))</f>
        <v>ОТД</v>
      </c>
      <c r="R59" s="7" t="s">
        <v>253</v>
      </c>
      <c r="T59" s="3">
        <f t="shared" ca="1" si="16"/>
        <v>52</v>
      </c>
    </row>
    <row r="60" spans="1:20" ht="14.1" customHeight="1" x14ac:dyDescent="0.25">
      <c r="A60" s="8" t="s">
        <v>131</v>
      </c>
      <c r="B60" s="4">
        <v>90</v>
      </c>
      <c r="C60" s="4">
        <v>105</v>
      </c>
      <c r="D60" s="4">
        <v>0</v>
      </c>
      <c r="E60" s="4">
        <v>0</v>
      </c>
      <c r="F60" s="4">
        <v>105</v>
      </c>
      <c r="G60" s="4">
        <f t="shared" si="24"/>
        <v>105</v>
      </c>
      <c r="H60" s="4">
        <f t="shared" si="23"/>
        <v>210</v>
      </c>
      <c r="I60" s="4">
        <v>7</v>
      </c>
      <c r="J60" s="4" t="s">
        <v>12</v>
      </c>
      <c r="K60" s="73">
        <f t="shared" si="13"/>
        <v>105</v>
      </c>
      <c r="L60" s="73">
        <f t="shared" si="14"/>
        <v>0</v>
      </c>
      <c r="M60" s="73">
        <f t="shared" si="15"/>
        <v>105</v>
      </c>
      <c r="N60" s="7" t="str">
        <f>IF(O60=""," ",VLOOKUP(O60,'[8]2012 личен състав ОТД'!$A:$AO,2,FALSE))</f>
        <v xml:space="preserve"> </v>
      </c>
      <c r="O60" s="3"/>
      <c r="P60" s="7" t="str">
        <f>IF(O60=""," ",VLOOKUP(O60,'[8]2012 личен състав ОТД'!$A:$AO,13,FALSE))</f>
        <v xml:space="preserve"> </v>
      </c>
      <c r="Q60" s="7" t="str">
        <f>IF(O60=""," ",VLOOKUP(O60,'[8]2012 личен състав ОТД'!$A:$AO,12,FALSE))</f>
        <v xml:space="preserve"> </v>
      </c>
      <c r="R60" s="7" t="str">
        <f>IF(A60=""," ",VLOOKUP(A60,'Профилиращ лист'!A:B,2,FALSE))</f>
        <v>ПРА</v>
      </c>
      <c r="T60" s="3" t="e">
        <f t="shared" ca="1" si="16"/>
        <v>#VALUE!</v>
      </c>
    </row>
    <row r="61" spans="1:20" x14ac:dyDescent="0.25">
      <c r="A61" s="67" t="s">
        <v>128</v>
      </c>
      <c r="B61" s="8">
        <v>30</v>
      </c>
      <c r="C61" s="4">
        <v>30</v>
      </c>
      <c r="D61" s="4">
        <v>15</v>
      </c>
      <c r="E61" s="4">
        <v>15</v>
      </c>
      <c r="F61" s="4">
        <f>C61-D61-E61</f>
        <v>0</v>
      </c>
      <c r="G61" s="4">
        <f t="shared" si="24"/>
        <v>30</v>
      </c>
      <c r="H61" s="4">
        <f t="shared" si="23"/>
        <v>60</v>
      </c>
      <c r="I61" s="4">
        <v>2</v>
      </c>
      <c r="J61" s="6" t="s">
        <v>12</v>
      </c>
      <c r="K61" s="73">
        <f t="shared" si="13"/>
        <v>75</v>
      </c>
      <c r="L61" s="73">
        <f t="shared" si="14"/>
        <v>45</v>
      </c>
      <c r="M61" s="73">
        <f t="shared" si="15"/>
        <v>30</v>
      </c>
      <c r="N61" s="7" t="str">
        <f>IF(O61=""," ",VLOOKUP(O61,'[8]2012 личен състав ОТД'!$A:$AO,2,FALSE))</f>
        <v>доц. д-р Николай Нейчев</v>
      </c>
      <c r="O61" s="3" t="s">
        <v>471</v>
      </c>
      <c r="P61" s="7">
        <f>IF(O61=""," ",VLOOKUP(O61,'[8]2012 личен състав ОТД'!$A:$AO,13,FALSE))</f>
        <v>1959</v>
      </c>
      <c r="Q61" s="7" t="str">
        <f>IF(O61=""," ",VLOOKUP(O61,'[8]2012 личен състав ОТД'!$A:$AO,12,FALSE))</f>
        <v>ОТД</v>
      </c>
      <c r="R61" s="7" t="str">
        <f>IF(A61=""," ",VLOOKUP(A61,'Профилиращ лист'!A:B,2,FALSE))</f>
        <v>ОФД</v>
      </c>
      <c r="T61" s="3">
        <f t="shared" ca="1" si="16"/>
        <v>54</v>
      </c>
    </row>
    <row r="62" spans="1:20" x14ac:dyDescent="0.25">
      <c r="A62" s="67" t="s">
        <v>129</v>
      </c>
      <c r="B62" s="8">
        <v>30</v>
      </c>
      <c r="C62" s="4">
        <v>30</v>
      </c>
      <c r="D62" s="4">
        <v>30</v>
      </c>
      <c r="E62" s="4">
        <v>0</v>
      </c>
      <c r="F62" s="4">
        <f>C62-D62-E62</f>
        <v>0</v>
      </c>
      <c r="G62" s="4">
        <f t="shared" si="24"/>
        <v>30</v>
      </c>
      <c r="H62" s="4">
        <f t="shared" si="23"/>
        <v>60</v>
      </c>
      <c r="I62" s="4">
        <v>2</v>
      </c>
      <c r="J62" s="6" t="s">
        <v>12</v>
      </c>
      <c r="K62" s="73">
        <f t="shared" si="13"/>
        <v>60</v>
      </c>
      <c r="L62" s="73">
        <f t="shared" si="14"/>
        <v>60</v>
      </c>
      <c r="M62" s="73">
        <f t="shared" si="15"/>
        <v>0</v>
      </c>
      <c r="N62" s="7" t="str">
        <f>IF(O62=""," ",VLOOKUP(O62,'[8]2012 личен състав ОТД'!$A:$AO,2,FALSE))</f>
        <v>проф. дфн Иван Куцаров</v>
      </c>
      <c r="O62" s="3" t="s">
        <v>500</v>
      </c>
      <c r="P62" s="7">
        <f>IF(O62=""," ",VLOOKUP(O62,'[8]2012 личен състав ОТД'!$A:$AO,13,FALSE))</f>
        <v>1942</v>
      </c>
      <c r="Q62" s="7" t="str">
        <f>IF(O62=""," ",VLOOKUP(O62,'[8]2012 личен състав ОТД'!$A:$AO,12,FALSE))</f>
        <v>ОТД</v>
      </c>
      <c r="R62" s="7" t="str">
        <f>IF(A62=""," ",VLOOKUP(A62,'Профилиращ лист'!A:B,2,FALSE))</f>
        <v>ОФД</v>
      </c>
      <c r="T62" s="3">
        <f t="shared" ca="1" si="16"/>
        <v>71</v>
      </c>
    </row>
    <row r="63" spans="1:20" ht="14.1" customHeight="1" x14ac:dyDescent="0.25">
      <c r="A63" s="8" t="s">
        <v>54</v>
      </c>
      <c r="B63" s="4">
        <v>30</v>
      </c>
      <c r="C63" s="4">
        <v>30</v>
      </c>
      <c r="D63" s="4">
        <v>30</v>
      </c>
      <c r="E63" s="4">
        <v>0</v>
      </c>
      <c r="F63" s="4">
        <v>0</v>
      </c>
      <c r="G63" s="4">
        <f t="shared" si="24"/>
        <v>30</v>
      </c>
      <c r="H63" s="4">
        <f t="shared" si="23"/>
        <v>60</v>
      </c>
      <c r="I63" s="4">
        <v>2</v>
      </c>
      <c r="J63" s="4" t="s">
        <v>14</v>
      </c>
      <c r="K63" s="73">
        <f t="shared" si="13"/>
        <v>60</v>
      </c>
      <c r="L63" s="73">
        <f t="shared" si="14"/>
        <v>45</v>
      </c>
      <c r="M63" s="73">
        <f t="shared" si="15"/>
        <v>15</v>
      </c>
      <c r="N63" s="7" t="str">
        <f>IF(O63=""," ",VLOOKUP(O63,'[8]2012 личен състав ОТД'!$A:$AO,2,FALSE))</f>
        <v xml:space="preserve"> </v>
      </c>
      <c r="O63" s="3"/>
      <c r="P63" s="7" t="str">
        <f>IF(O63=""," ",VLOOKUP(O63,'[8]2012 личен състав ОТД'!$A:$AO,13,FALSE))</f>
        <v xml:space="preserve"> </v>
      </c>
      <c r="Q63" s="7" t="str">
        <f>IF(O63=""," ",VLOOKUP(O63,'[8]2012 личен състав ОТД'!$A:$AO,12,FALSE))</f>
        <v xml:space="preserve"> </v>
      </c>
      <c r="T63" s="3" t="e">
        <f t="shared" ca="1" si="16"/>
        <v>#VALUE!</v>
      </c>
    </row>
    <row r="64" spans="1:20" ht="14.1" customHeight="1" x14ac:dyDescent="0.25">
      <c r="A64" s="8" t="s">
        <v>132</v>
      </c>
      <c r="B64" s="4">
        <v>30</v>
      </c>
      <c r="C64" s="4">
        <v>30</v>
      </c>
      <c r="D64" s="4">
        <v>15</v>
      </c>
      <c r="E64" s="4">
        <v>15</v>
      </c>
      <c r="F64" s="4">
        <v>0</v>
      </c>
      <c r="G64" s="4">
        <f t="shared" si="24"/>
        <v>30</v>
      </c>
      <c r="H64" s="4">
        <f t="shared" si="23"/>
        <v>60</v>
      </c>
      <c r="I64" s="4">
        <v>2</v>
      </c>
      <c r="J64" s="4" t="s">
        <v>14</v>
      </c>
      <c r="K64" s="73">
        <f t="shared" si="13"/>
        <v>60</v>
      </c>
      <c r="L64" s="73">
        <f t="shared" si="14"/>
        <v>30</v>
      </c>
      <c r="M64" s="73">
        <f t="shared" si="15"/>
        <v>30</v>
      </c>
      <c r="N64" s="7" t="str">
        <f>IF(O64=""," ",VLOOKUP(O64,'[8]2012 личен състав ОТД'!$A:$AO,2,FALSE))</f>
        <v xml:space="preserve"> </v>
      </c>
      <c r="O64" s="3"/>
      <c r="P64" s="7" t="str">
        <f>IF(O64=""," ",VLOOKUP(O64,'[8]2012 личен състав ОТД'!$A:$AO,13,FALSE))</f>
        <v xml:space="preserve"> </v>
      </c>
      <c r="Q64" s="7" t="str">
        <f>IF(O64=""," ",VLOOKUP(O64,'[8]2012 личен състав ОТД'!$A:$AO,12,FALSE))</f>
        <v xml:space="preserve"> </v>
      </c>
      <c r="T64" s="3" t="e">
        <f t="shared" ca="1" si="16"/>
        <v>#VALUE!</v>
      </c>
    </row>
    <row r="65" spans="1:20" ht="14.1" customHeight="1" x14ac:dyDescent="0.25">
      <c r="A65" s="8" t="s">
        <v>57</v>
      </c>
      <c r="B65" s="4">
        <v>15</v>
      </c>
      <c r="C65" s="4">
        <v>30</v>
      </c>
      <c r="D65" s="4">
        <v>0</v>
      </c>
      <c r="E65" s="4">
        <v>0</v>
      </c>
      <c r="F65" s="4">
        <v>30</v>
      </c>
      <c r="G65" s="4">
        <f t="shared" si="24"/>
        <v>30</v>
      </c>
      <c r="H65" s="4">
        <f t="shared" si="23"/>
        <v>60</v>
      </c>
      <c r="I65" s="4">
        <v>2</v>
      </c>
      <c r="J65" s="4" t="s">
        <v>18</v>
      </c>
      <c r="K65" s="73">
        <f t="shared" si="13"/>
        <v>30</v>
      </c>
      <c r="L65" s="73">
        <f t="shared" si="14"/>
        <v>0</v>
      </c>
      <c r="M65" s="73">
        <f t="shared" si="15"/>
        <v>30</v>
      </c>
      <c r="N65" s="7" t="str">
        <f>IF(O65=""," ",VLOOKUP(O65,'[8]2012 личен състав ОТД'!$A:$AO,2,FALSE))</f>
        <v xml:space="preserve"> </v>
      </c>
      <c r="O65" s="3"/>
      <c r="P65" s="7" t="str">
        <f>IF(O65=""," ",VLOOKUP(O65,'[8]2012 личен състав ОТД'!$A:$AO,13,FALSE))</f>
        <v xml:space="preserve"> </v>
      </c>
      <c r="Q65" s="7" t="str">
        <f>IF(O65=""," ",VLOOKUP(O65,'[8]2012 личен състав ОТД'!$A:$AO,12,FALSE))</f>
        <v xml:space="preserve"> </v>
      </c>
      <c r="R65" s="7" t="str">
        <f>IF(A65=""," ",VLOOKUP(A65,'Профилиращ лист'!A:B,2,FALSE))</f>
        <v>ПЕД</v>
      </c>
      <c r="T65" s="3" t="e">
        <f t="shared" ca="1" si="16"/>
        <v>#VALUE!</v>
      </c>
    </row>
    <row r="66" spans="1:20" ht="14.1" customHeight="1" x14ac:dyDescent="0.25">
      <c r="A66" s="8" t="s">
        <v>133</v>
      </c>
      <c r="B66" s="4">
        <v>15</v>
      </c>
      <c r="C66" s="4">
        <v>15</v>
      </c>
      <c r="D66" s="4">
        <v>0</v>
      </c>
      <c r="E66" s="4">
        <v>0</v>
      </c>
      <c r="F66" s="4">
        <v>15</v>
      </c>
      <c r="G66" s="4">
        <f t="shared" si="24"/>
        <v>45</v>
      </c>
      <c r="H66" s="4">
        <f t="shared" si="23"/>
        <v>60</v>
      </c>
      <c r="I66" s="4">
        <v>2</v>
      </c>
      <c r="J66" s="4" t="s">
        <v>18</v>
      </c>
      <c r="K66" s="73">
        <f t="shared" si="13"/>
        <v>15</v>
      </c>
      <c r="L66" s="73">
        <f t="shared" si="14"/>
        <v>0</v>
      </c>
      <c r="M66" s="73">
        <f t="shared" si="15"/>
        <v>15</v>
      </c>
      <c r="N66" s="7" t="str">
        <f>IF(O66=""," ",VLOOKUP(O66,'[8]2012 личен състав ОТД'!$A:$AO,2,FALSE))</f>
        <v xml:space="preserve"> </v>
      </c>
      <c r="O66" s="3"/>
      <c r="P66" s="7" t="str">
        <f>IF(O66=""," ",VLOOKUP(O66,'[8]2012 личен състав ОТД'!$A:$AO,13,FALSE))</f>
        <v xml:space="preserve"> </v>
      </c>
      <c r="Q66" s="7" t="str">
        <f>IF(O66=""," ",VLOOKUP(O66,'[8]2012 личен състав ОТД'!$A:$AO,12,FALSE))</f>
        <v xml:space="preserve"> </v>
      </c>
      <c r="R66" s="7" t="s">
        <v>253</v>
      </c>
      <c r="T66" s="3" t="e">
        <f t="shared" ca="1" si="16"/>
        <v>#VALUE!</v>
      </c>
    </row>
    <row r="67" spans="1:20" ht="14.1" customHeight="1" x14ac:dyDescent="0.25">
      <c r="A67" s="8"/>
      <c r="B67" s="9">
        <f t="shared" ref="B67:I67" si="25">SUM(B57:B66)</f>
        <v>360</v>
      </c>
      <c r="C67" s="9">
        <f t="shared" si="25"/>
        <v>405</v>
      </c>
      <c r="D67" s="9">
        <f t="shared" si="25"/>
        <v>165</v>
      </c>
      <c r="E67" s="9">
        <f t="shared" si="25"/>
        <v>90</v>
      </c>
      <c r="F67" s="9">
        <f t="shared" si="25"/>
        <v>150</v>
      </c>
      <c r="G67" s="9">
        <f t="shared" si="25"/>
        <v>495</v>
      </c>
      <c r="H67" s="9">
        <f t="shared" si="25"/>
        <v>900</v>
      </c>
      <c r="I67" s="9">
        <f t="shared" si="25"/>
        <v>30</v>
      </c>
      <c r="J67" s="6"/>
      <c r="K67" s="73">
        <f t="shared" ref="K67:K87" si="26">SUMIF(A:A,A67,C:C)</f>
        <v>0</v>
      </c>
      <c r="L67" s="73">
        <f t="shared" ref="L67:L87" si="27">SUMIF(A:A,A67,D:D)</f>
        <v>0</v>
      </c>
      <c r="M67" s="73">
        <f t="shared" ref="M67:M87" si="28">SUMIF(A:A,A67,E:E)+SUMIF(A:A,A67,F:F)</f>
        <v>0</v>
      </c>
      <c r="N67" s="7" t="str">
        <f>IF(O67=""," ",VLOOKUP(O67,'[8]2012 личен състав ОТД'!$A:$AO,2,FALSE))</f>
        <v xml:space="preserve"> </v>
      </c>
      <c r="O67" s="3"/>
      <c r="P67" s="7" t="str">
        <f>IF(O67=""," ",VLOOKUP(O67,'[8]2012 личен състав ОТД'!$A:$AO,13,FALSE))</f>
        <v xml:space="preserve"> </v>
      </c>
      <c r="Q67" s="7" t="str">
        <f>IF(O67=""," ",VLOOKUP(O67,'[8]2012 личен състав ОТД'!$A:$AO,12,FALSE))</f>
        <v xml:space="preserve"> </v>
      </c>
      <c r="R67" s="7" t="str">
        <f>IF(A67=""," ",VLOOKUP(A67,'Профилиращ лист'!A:B,2,FALSE))</f>
        <v xml:space="preserve"> </v>
      </c>
      <c r="T67" s="3" t="e">
        <f t="shared" ref="T67:T95" ca="1" si="29">Години-P67</f>
        <v>#VALUE!</v>
      </c>
    </row>
    <row r="68" spans="1:20" ht="15" customHeight="1" x14ac:dyDescent="0.25">
      <c r="A68" s="1" t="s">
        <v>59</v>
      </c>
      <c r="B68" s="1"/>
      <c r="J68" s="6"/>
      <c r="K68" s="73">
        <f t="shared" si="26"/>
        <v>0</v>
      </c>
      <c r="L68" s="73">
        <f t="shared" si="27"/>
        <v>0</v>
      </c>
      <c r="M68" s="73">
        <f t="shared" si="28"/>
        <v>0</v>
      </c>
      <c r="N68" s="7" t="str">
        <f>IF(O68=""," ",VLOOKUP(O68,'[8]2012 личен състав ОТД'!$A:$AO,2,FALSE))</f>
        <v xml:space="preserve"> </v>
      </c>
      <c r="O68" s="3"/>
      <c r="P68" s="7" t="str">
        <f>IF(O68=""," ",VLOOKUP(O68,'[8]2012 личен състав ОТД'!$A:$AO,13,FALSE))</f>
        <v xml:space="preserve"> </v>
      </c>
      <c r="Q68" s="7" t="str">
        <f>IF(O68=""," ",VLOOKUP(O68,'[8]2012 личен състав ОТД'!$A:$AO,12,FALSE))</f>
        <v xml:space="preserve"> </v>
      </c>
      <c r="T68" s="3" t="e">
        <f t="shared" ca="1" si="29"/>
        <v>#VALUE!</v>
      </c>
    </row>
    <row r="69" spans="1:20" ht="15" customHeight="1" x14ac:dyDescent="0.25">
      <c r="A69" s="8" t="s">
        <v>62</v>
      </c>
      <c r="B69" s="4">
        <v>45</v>
      </c>
      <c r="C69" s="4">
        <v>45</v>
      </c>
      <c r="D69" s="4">
        <v>45</v>
      </c>
      <c r="E69" s="4">
        <v>0</v>
      </c>
      <c r="F69" s="4">
        <v>0</v>
      </c>
      <c r="G69" s="4">
        <f>H69-C69</f>
        <v>45</v>
      </c>
      <c r="H69" s="4">
        <f t="shared" ref="H69:H78" si="30">I69*30</f>
        <v>90</v>
      </c>
      <c r="I69" s="4">
        <v>3</v>
      </c>
      <c r="J69" s="4" t="s">
        <v>14</v>
      </c>
      <c r="K69" s="73">
        <f t="shared" si="26"/>
        <v>90</v>
      </c>
      <c r="L69" s="73">
        <f t="shared" si="27"/>
        <v>75</v>
      </c>
      <c r="M69" s="73">
        <f t="shared" si="28"/>
        <v>15</v>
      </c>
      <c r="N69" s="7" t="str">
        <f>IF(O69=""," ",VLOOKUP(O69,'[8]2012 личен състав ОТД'!$A:$AO,2,FALSE))</f>
        <v xml:space="preserve"> </v>
      </c>
      <c r="O69" s="3"/>
      <c r="P69" s="7" t="str">
        <f>IF(O69=""," ",VLOOKUP(O69,'[8]2012 личен състав ОТД'!$A:$AO,13,FALSE))</f>
        <v xml:space="preserve"> </v>
      </c>
      <c r="Q69" s="7" t="str">
        <f>IF(O69=""," ",VLOOKUP(O69,'[8]2012 личен състав ОТД'!$A:$AO,12,FALSE))</f>
        <v xml:space="preserve"> </v>
      </c>
      <c r="T69" s="3" t="e">
        <f t="shared" ca="1" si="29"/>
        <v>#VALUE!</v>
      </c>
    </row>
    <row r="70" spans="1:20" x14ac:dyDescent="0.25">
      <c r="A70" s="67" t="s">
        <v>64</v>
      </c>
      <c r="B70" s="4">
        <v>15</v>
      </c>
      <c r="C70" s="4">
        <v>15</v>
      </c>
      <c r="D70" s="4">
        <v>15</v>
      </c>
      <c r="E70" s="4">
        <v>0</v>
      </c>
      <c r="F70" s="4">
        <v>0</v>
      </c>
      <c r="G70" s="4">
        <f t="shared" ref="G70:G78" si="31">H70-C70</f>
        <v>75</v>
      </c>
      <c r="H70" s="4">
        <f t="shared" si="30"/>
        <v>90</v>
      </c>
      <c r="I70" s="4">
        <v>3</v>
      </c>
      <c r="J70" s="4" t="s">
        <v>12</v>
      </c>
      <c r="K70" s="73">
        <f t="shared" si="26"/>
        <v>15</v>
      </c>
      <c r="L70" s="73">
        <f t="shared" si="27"/>
        <v>15</v>
      </c>
      <c r="M70" s="73">
        <f t="shared" si="28"/>
        <v>0</v>
      </c>
      <c r="N70" s="7" t="str">
        <f>IF(O70=""," ",VLOOKUP(O70,'[8]2012 личен състав ОТД'!$A:$AO,2,FALSE))</f>
        <v>доц. д-р Соня Спилкова</v>
      </c>
      <c r="O70" s="3" t="s">
        <v>477</v>
      </c>
      <c r="P70" s="7">
        <f>IF(O70=""," ",VLOOKUP(O70,'[8]2012 личен състав ОТД'!$A:$AO,13,FALSE))</f>
        <v>1952</v>
      </c>
      <c r="Q70" s="7" t="str">
        <f>IF(O70=""," ",VLOOKUP(O70,'[8]2012 личен състав ОТД'!$A:$AO,12,FALSE))</f>
        <v>ОТД</v>
      </c>
      <c r="R70" s="7" t="str">
        <f>IF(A70=""," ",VLOOKUP(A70,'Профилиращ лист'!A:B,2,FALSE))</f>
        <v>ПЕД</v>
      </c>
      <c r="T70" s="3">
        <f t="shared" ca="1" si="29"/>
        <v>61</v>
      </c>
    </row>
    <row r="71" spans="1:20" x14ac:dyDescent="0.25">
      <c r="A71" s="67" t="s">
        <v>65</v>
      </c>
      <c r="B71" s="4">
        <v>15</v>
      </c>
      <c r="C71" s="4">
        <v>15</v>
      </c>
      <c r="D71" s="4">
        <v>15</v>
      </c>
      <c r="E71" s="4">
        <v>0</v>
      </c>
      <c r="F71" s="4">
        <v>0</v>
      </c>
      <c r="G71" s="4">
        <f t="shared" si="31"/>
        <v>75</v>
      </c>
      <c r="H71" s="4">
        <f t="shared" si="30"/>
        <v>90</v>
      </c>
      <c r="I71" s="4">
        <v>3</v>
      </c>
      <c r="J71" s="4" t="s">
        <v>12</v>
      </c>
      <c r="K71" s="73">
        <f t="shared" si="26"/>
        <v>15</v>
      </c>
      <c r="L71" s="73">
        <f t="shared" si="27"/>
        <v>15</v>
      </c>
      <c r="M71" s="73">
        <f t="shared" si="28"/>
        <v>0</v>
      </c>
      <c r="N71" s="7" t="str">
        <f>IF(O71=""," ",VLOOKUP(O71,'[8]2012 личен състав ОТД'!$A:$AO,2,FALSE))</f>
        <v>доц. д-р Пенка Гарушева-Карамалакова</v>
      </c>
      <c r="O71" s="3" t="str">
        <f>IF(A71=""," ",VLOOKUP(A71,'Български и английски език'!A:O,15,FALSE))</f>
        <v>гарушева</v>
      </c>
      <c r="P71" s="7">
        <f>IF(O71=""," ",VLOOKUP(O71,'[8]2012 личен състав ОТД'!$A:$AO,13,FALSE))</f>
        <v>1947</v>
      </c>
      <c r="Q71" s="7" t="str">
        <f>IF(O71=""," ",VLOOKUP(O71,'[8]2012 личен състав ОТД'!$A:$AO,12,FALSE))</f>
        <v>ОТД</v>
      </c>
      <c r="R71" s="7" t="str">
        <f>IF(A71=""," ",VLOOKUP(A71,'Профилиращ лист'!A:B,2,FALSE))</f>
        <v>ПЕД</v>
      </c>
      <c r="T71" s="3">
        <f t="shared" ca="1" si="29"/>
        <v>66</v>
      </c>
    </row>
    <row r="72" spans="1:20" ht="15" customHeight="1" x14ac:dyDescent="0.25">
      <c r="A72" s="8" t="s">
        <v>116</v>
      </c>
      <c r="B72" s="4">
        <v>90</v>
      </c>
      <c r="C72" s="4">
        <v>75</v>
      </c>
      <c r="D72" s="4">
        <v>0</v>
      </c>
      <c r="E72" s="4">
        <v>0</v>
      </c>
      <c r="F72" s="4">
        <v>75</v>
      </c>
      <c r="G72" s="4">
        <f t="shared" si="31"/>
        <v>135</v>
      </c>
      <c r="H72" s="4">
        <f t="shared" si="30"/>
        <v>210</v>
      </c>
      <c r="I72" s="4">
        <v>7</v>
      </c>
      <c r="J72" s="4" t="s">
        <v>14</v>
      </c>
      <c r="K72" s="73">
        <f t="shared" si="26"/>
        <v>630</v>
      </c>
      <c r="L72" s="73">
        <f t="shared" si="27"/>
        <v>0</v>
      </c>
      <c r="M72" s="73">
        <f t="shared" si="28"/>
        <v>630</v>
      </c>
      <c r="N72" s="7" t="str">
        <f>IF(O72=""," ",VLOOKUP(O72,'[8]2012 личен състав ОТД'!$A:$AO,2,FALSE))</f>
        <v xml:space="preserve"> </v>
      </c>
      <c r="O72" s="3"/>
      <c r="P72" s="7" t="str">
        <f>IF(O72=""," ",VLOOKUP(O72,'[8]2012 личен състав ОТД'!$A:$AO,13,FALSE))</f>
        <v xml:space="preserve"> </v>
      </c>
      <c r="Q72" s="7" t="str">
        <f>IF(O72=""," ",VLOOKUP(O72,'[8]2012 личен състав ОТД'!$A:$AO,12,FALSE))</f>
        <v xml:space="preserve"> </v>
      </c>
      <c r="R72" s="7" t="str">
        <f>IF(A72=""," ",VLOOKUP(A72,'Профилиращ лист'!A:B,2,FALSE))</f>
        <v>ПРА</v>
      </c>
      <c r="T72" s="3" t="e">
        <f t="shared" ca="1" si="29"/>
        <v>#VALUE!</v>
      </c>
    </row>
    <row r="73" spans="1:20" x14ac:dyDescent="0.25">
      <c r="A73" s="8" t="s">
        <v>134</v>
      </c>
      <c r="B73" s="8">
        <v>30</v>
      </c>
      <c r="C73" s="4">
        <v>45</v>
      </c>
      <c r="D73" s="4">
        <v>30</v>
      </c>
      <c r="E73" s="4">
        <v>15</v>
      </c>
      <c r="F73" s="4">
        <f>C73-D73-E73</f>
        <v>0</v>
      </c>
      <c r="G73" s="4">
        <f t="shared" si="31"/>
        <v>75</v>
      </c>
      <c r="H73" s="4">
        <f t="shared" si="30"/>
        <v>120</v>
      </c>
      <c r="I73" s="4">
        <v>4</v>
      </c>
      <c r="J73" s="4" t="s">
        <v>14</v>
      </c>
      <c r="K73" s="73">
        <f t="shared" si="26"/>
        <v>75</v>
      </c>
      <c r="L73" s="73">
        <f t="shared" si="27"/>
        <v>45</v>
      </c>
      <c r="M73" s="73">
        <f t="shared" si="28"/>
        <v>30</v>
      </c>
      <c r="N73" s="7" t="str">
        <f>IF(O73=""," ",VLOOKUP(O73,'[8]2012 личен състав ОТД'!$A:$AO,2,FALSE))</f>
        <v xml:space="preserve"> </v>
      </c>
      <c r="O73" s="3"/>
      <c r="P73" s="7" t="str">
        <f>IF(O73=""," ",VLOOKUP(O73,'[8]2012 личен състав ОТД'!$A:$AO,13,FALSE))</f>
        <v xml:space="preserve"> </v>
      </c>
      <c r="Q73" s="7" t="str">
        <f>IF(O73=""," ",VLOOKUP(O73,'[8]2012 личен състав ОТД'!$A:$AO,12,FALSE))</f>
        <v xml:space="preserve"> </v>
      </c>
      <c r="T73" s="3" t="e">
        <f t="shared" ca="1" si="29"/>
        <v>#VALUE!</v>
      </c>
    </row>
    <row r="74" spans="1:20" x14ac:dyDescent="0.25">
      <c r="A74" s="67" t="s">
        <v>54</v>
      </c>
      <c r="B74" s="4">
        <v>30</v>
      </c>
      <c r="C74" s="4">
        <v>30</v>
      </c>
      <c r="D74" s="4">
        <v>15</v>
      </c>
      <c r="E74" s="4">
        <v>15</v>
      </c>
      <c r="F74" s="4">
        <v>0</v>
      </c>
      <c r="G74" s="4">
        <f t="shared" si="31"/>
        <v>30</v>
      </c>
      <c r="H74" s="4">
        <f t="shared" si="30"/>
        <v>60</v>
      </c>
      <c r="I74" s="4">
        <v>2</v>
      </c>
      <c r="J74" s="4" t="s">
        <v>12</v>
      </c>
      <c r="K74" s="73">
        <f t="shared" si="26"/>
        <v>60</v>
      </c>
      <c r="L74" s="73">
        <f t="shared" si="27"/>
        <v>45</v>
      </c>
      <c r="M74" s="73">
        <f t="shared" si="28"/>
        <v>15</v>
      </c>
      <c r="N74" s="7" t="str">
        <f>IF(O74=""," ",VLOOKUP(O74,'[8]2012 личен състав ОТД'!$A:$AO,2,FALSE))</f>
        <v>доц. д-р Петя Бъркалова</v>
      </c>
      <c r="O74" s="3" t="s">
        <v>479</v>
      </c>
      <c r="P74" s="7">
        <f>IF(O74=""," ",VLOOKUP(O74,'[8]2012 личен състав ОТД'!$A:$AO,13,FALSE))</f>
        <v>1956</v>
      </c>
      <c r="Q74" s="7" t="str">
        <f>IF(O74=""," ",VLOOKUP(O74,'[8]2012 личен състав ОТД'!$A:$AO,12,FALSE))</f>
        <v>ОТД</v>
      </c>
      <c r="R74" s="7" t="str">
        <f>IF(A74=""," ",VLOOKUP(A74,'Профилиращ лист'!A:B,2,FALSE))</f>
        <v>СПЕ</v>
      </c>
      <c r="S74" s="3" t="s">
        <v>5</v>
      </c>
      <c r="T74" s="3">
        <f t="shared" ca="1" si="29"/>
        <v>57</v>
      </c>
    </row>
    <row r="75" spans="1:20" x14ac:dyDescent="0.25">
      <c r="A75" s="67" t="s">
        <v>132</v>
      </c>
      <c r="B75" s="4">
        <v>30</v>
      </c>
      <c r="C75" s="4">
        <v>30</v>
      </c>
      <c r="D75" s="4">
        <v>15</v>
      </c>
      <c r="E75" s="4">
        <v>15</v>
      </c>
      <c r="F75" s="4">
        <v>0</v>
      </c>
      <c r="G75" s="4">
        <f t="shared" si="31"/>
        <v>30</v>
      </c>
      <c r="H75" s="4">
        <f t="shared" si="30"/>
        <v>60</v>
      </c>
      <c r="I75" s="4">
        <v>2</v>
      </c>
      <c r="J75" s="4" t="s">
        <v>12</v>
      </c>
      <c r="K75" s="73">
        <f t="shared" si="26"/>
        <v>60</v>
      </c>
      <c r="L75" s="73">
        <f t="shared" si="27"/>
        <v>30</v>
      </c>
      <c r="M75" s="73">
        <f t="shared" si="28"/>
        <v>30</v>
      </c>
      <c r="N75" s="7" t="str">
        <f>IF(O75=""," ",VLOOKUP(O75,'[8]2012 личен състав ОТД'!$A:$AO,2,FALSE))</f>
        <v>проф. д-р Стефка Георгиева</v>
      </c>
      <c r="O75" s="3" t="s">
        <v>497</v>
      </c>
      <c r="P75" s="7">
        <f>IF(O75=""," ",VLOOKUP(O75,'[8]2012 личен състав ОТД'!$A:$AO,13,FALSE))</f>
        <v>1945</v>
      </c>
      <c r="Q75" s="7" t="str">
        <f>IF(O75=""," ",VLOOKUP(O75,'[8]2012 личен състав ОТД'!$A:$AO,12,FALSE))</f>
        <v>ОТД</v>
      </c>
      <c r="R75" s="7" t="str">
        <f>IF(A75=""," ",VLOOKUP(A75,'Профилиращ лист'!A:B,2,FALSE))</f>
        <v>ОФД</v>
      </c>
      <c r="T75" s="3">
        <f t="shared" ca="1" si="29"/>
        <v>68</v>
      </c>
    </row>
    <row r="76" spans="1:20" ht="15" customHeight="1" x14ac:dyDescent="0.25">
      <c r="A76" s="8" t="s">
        <v>72</v>
      </c>
      <c r="B76" s="4">
        <v>30</v>
      </c>
      <c r="C76" s="4">
        <v>30</v>
      </c>
      <c r="D76" s="4">
        <v>0</v>
      </c>
      <c r="E76" s="4">
        <v>0</v>
      </c>
      <c r="F76" s="4">
        <v>30</v>
      </c>
      <c r="G76" s="4">
        <f t="shared" si="31"/>
        <v>30</v>
      </c>
      <c r="H76" s="4">
        <f t="shared" si="30"/>
        <v>60</v>
      </c>
      <c r="I76" s="4">
        <v>2</v>
      </c>
      <c r="J76" s="4" t="s">
        <v>18</v>
      </c>
      <c r="K76" s="73">
        <f t="shared" si="26"/>
        <v>30</v>
      </c>
      <c r="L76" s="73">
        <f t="shared" si="27"/>
        <v>0</v>
      </c>
      <c r="M76" s="73">
        <f t="shared" si="28"/>
        <v>30</v>
      </c>
      <c r="N76" s="7" t="str">
        <f>IF(O76=""," ",VLOOKUP(O76,'[8]2012 личен състав ОТД'!$A:$AO,2,FALSE))</f>
        <v xml:space="preserve"> </v>
      </c>
      <c r="O76" s="3"/>
      <c r="P76" s="7" t="str">
        <f>IF(O76=""," ",VLOOKUP(O76,'[8]2012 личен състав ОТД'!$A:$AO,13,FALSE))</f>
        <v xml:space="preserve"> </v>
      </c>
      <c r="Q76" s="7" t="str">
        <f>IF(O76=""," ",VLOOKUP(O76,'[8]2012 личен състав ОТД'!$A:$AO,12,FALSE))</f>
        <v xml:space="preserve"> </v>
      </c>
      <c r="R76" s="7" t="str">
        <f>IF(A76=""," ",VLOOKUP(A76,'Профилиращ лист'!A:B,2,FALSE))</f>
        <v>ФД</v>
      </c>
      <c r="T76" s="3" t="e">
        <f t="shared" ca="1" si="29"/>
        <v>#VALUE!</v>
      </c>
    </row>
    <row r="77" spans="1:20" ht="15" customHeight="1" x14ac:dyDescent="0.25">
      <c r="A77" s="8" t="s">
        <v>66</v>
      </c>
      <c r="B77" s="4">
        <v>30</v>
      </c>
      <c r="C77" s="4">
        <v>30</v>
      </c>
      <c r="D77" s="4">
        <v>0</v>
      </c>
      <c r="E77" s="4">
        <v>0</v>
      </c>
      <c r="F77" s="4">
        <v>30</v>
      </c>
      <c r="G77" s="4">
        <f t="shared" si="31"/>
        <v>30</v>
      </c>
      <c r="H77" s="4">
        <f t="shared" si="30"/>
        <v>60</v>
      </c>
      <c r="I77" s="4">
        <v>2</v>
      </c>
      <c r="J77" s="4" t="s">
        <v>18</v>
      </c>
      <c r="K77" s="73">
        <f t="shared" si="26"/>
        <v>30</v>
      </c>
      <c r="L77" s="73">
        <f t="shared" si="27"/>
        <v>0</v>
      </c>
      <c r="M77" s="73">
        <f t="shared" si="28"/>
        <v>30</v>
      </c>
      <c r="N77" s="7" t="str">
        <f>IF(O77=""," ",VLOOKUP(O77,'[8]2012 личен състав ОТД'!$A:$AO,2,FALSE))</f>
        <v xml:space="preserve"> </v>
      </c>
      <c r="O77" s="3"/>
      <c r="P77" s="7" t="str">
        <f>IF(O77=""," ",VLOOKUP(O77,'[8]2012 личен състав ОТД'!$A:$AO,13,FALSE))</f>
        <v xml:space="preserve"> </v>
      </c>
      <c r="Q77" s="7" t="str">
        <f>IF(O77=""," ",VLOOKUP(O77,'[8]2012 личен състав ОТД'!$A:$AO,12,FALSE))</f>
        <v xml:space="preserve"> </v>
      </c>
      <c r="R77" s="7" t="str">
        <f>IF(A77=""," ",VLOOKUP(A77,'Профилиращ лист'!A:B,2,FALSE))</f>
        <v>ПЕД</v>
      </c>
      <c r="T77" s="3" t="e">
        <f t="shared" ca="1" si="29"/>
        <v>#VALUE!</v>
      </c>
    </row>
    <row r="78" spans="1:20" ht="15" customHeight="1" x14ac:dyDescent="0.25">
      <c r="A78" s="8" t="s">
        <v>135</v>
      </c>
      <c r="B78" s="4">
        <v>15</v>
      </c>
      <c r="C78" s="4">
        <v>15</v>
      </c>
      <c r="D78" s="4">
        <v>0</v>
      </c>
      <c r="E78" s="4">
        <v>0</v>
      </c>
      <c r="F78" s="4">
        <v>15</v>
      </c>
      <c r="G78" s="4">
        <f t="shared" si="31"/>
        <v>45</v>
      </c>
      <c r="H78" s="4">
        <f t="shared" si="30"/>
        <v>60</v>
      </c>
      <c r="I78" s="4">
        <v>2</v>
      </c>
      <c r="J78" s="4" t="s">
        <v>18</v>
      </c>
      <c r="K78" s="73">
        <f t="shared" si="26"/>
        <v>15</v>
      </c>
      <c r="L78" s="73">
        <f t="shared" si="27"/>
        <v>0</v>
      </c>
      <c r="M78" s="73">
        <f t="shared" si="28"/>
        <v>15</v>
      </c>
      <c r="N78" s="7" t="str">
        <f>IF(O78=""," ",VLOOKUP(O78,'[8]2012 личен състав ОТД'!$A:$AO,2,FALSE))</f>
        <v xml:space="preserve"> </v>
      </c>
      <c r="O78" s="3"/>
      <c r="P78" s="7" t="str">
        <f>IF(O78=""," ",VLOOKUP(O78,'[8]2012 личен състав ОТД'!$A:$AO,13,FALSE))</f>
        <v xml:space="preserve"> </v>
      </c>
      <c r="Q78" s="7" t="str">
        <f>IF(O78=""," ",VLOOKUP(O78,'[8]2012 личен състав ОТД'!$A:$AO,12,FALSE))</f>
        <v xml:space="preserve"> </v>
      </c>
      <c r="R78" s="7" t="s">
        <v>253</v>
      </c>
      <c r="T78" s="3" t="e">
        <f t="shared" ca="1" si="29"/>
        <v>#VALUE!</v>
      </c>
    </row>
    <row r="79" spans="1:20" ht="15" customHeight="1" x14ac:dyDescent="0.25">
      <c r="A79" s="8"/>
      <c r="B79" s="9">
        <f t="shared" ref="B79:I79" si="32">SUM(B69:B78)</f>
        <v>330</v>
      </c>
      <c r="C79" s="9">
        <f t="shared" si="32"/>
        <v>330</v>
      </c>
      <c r="D79" s="9">
        <f t="shared" si="32"/>
        <v>135</v>
      </c>
      <c r="E79" s="9">
        <f t="shared" si="32"/>
        <v>45</v>
      </c>
      <c r="F79" s="9">
        <f t="shared" si="32"/>
        <v>150</v>
      </c>
      <c r="G79" s="9">
        <f t="shared" si="32"/>
        <v>570</v>
      </c>
      <c r="H79" s="9">
        <f t="shared" si="32"/>
        <v>900</v>
      </c>
      <c r="I79" s="9">
        <f t="shared" si="32"/>
        <v>30</v>
      </c>
      <c r="J79" s="6"/>
      <c r="K79" s="73">
        <f t="shared" si="26"/>
        <v>0</v>
      </c>
      <c r="L79" s="73">
        <f t="shared" si="27"/>
        <v>0</v>
      </c>
      <c r="M79" s="73">
        <f t="shared" si="28"/>
        <v>0</v>
      </c>
      <c r="N79" s="7" t="str">
        <f>IF(O79=""," ",VLOOKUP(O79,'[8]2012 личен състав ОТД'!$A:$AO,2,FALSE))</f>
        <v xml:space="preserve"> </v>
      </c>
      <c r="O79" s="3"/>
      <c r="P79" s="7" t="str">
        <f>IF(O79=""," ",VLOOKUP(O79,'[8]2012 личен състав ОТД'!$A:$AO,13,FALSE))</f>
        <v xml:space="preserve"> </v>
      </c>
      <c r="Q79" s="7" t="str">
        <f>IF(O79=""," ",VLOOKUP(O79,'[8]2012 личен състав ОТД'!$A:$AO,12,FALSE))</f>
        <v xml:space="preserve"> </v>
      </c>
      <c r="T79" s="3" t="e">
        <f t="shared" ca="1" si="29"/>
        <v>#VALUE!</v>
      </c>
    </row>
    <row r="80" spans="1:20" ht="15" customHeight="1" x14ac:dyDescent="0.25">
      <c r="A80" s="1" t="s">
        <v>68</v>
      </c>
      <c r="B80" s="1"/>
      <c r="J80" s="6"/>
      <c r="K80" s="73">
        <f t="shared" si="26"/>
        <v>0</v>
      </c>
      <c r="L80" s="73">
        <f t="shared" si="27"/>
        <v>0</v>
      </c>
      <c r="M80" s="73">
        <f t="shared" si="28"/>
        <v>0</v>
      </c>
      <c r="N80" s="7" t="str">
        <f>IF(O80=""," ",VLOOKUP(O80,'[8]2012 личен състав ОТД'!$A:$AO,2,FALSE))</f>
        <v xml:space="preserve"> </v>
      </c>
      <c r="O80" s="3"/>
      <c r="P80" s="7" t="str">
        <f>IF(O80=""," ",VLOOKUP(O80,'[8]2012 личен състав ОТД'!$A:$AO,13,FALSE))</f>
        <v xml:space="preserve"> </v>
      </c>
      <c r="Q80" s="7" t="str">
        <f>IF(O80=""," ",VLOOKUP(O80,'[8]2012 личен състав ОТД'!$A:$AO,12,FALSE))</f>
        <v xml:space="preserve"> </v>
      </c>
      <c r="T80" s="3" t="e">
        <f t="shared" ca="1" si="29"/>
        <v>#VALUE!</v>
      </c>
    </row>
    <row r="81" spans="1:20" x14ac:dyDescent="0.25">
      <c r="A81" s="67" t="s">
        <v>62</v>
      </c>
      <c r="B81" s="4">
        <v>30</v>
      </c>
      <c r="C81" s="4">
        <v>45</v>
      </c>
      <c r="D81" s="4">
        <v>30</v>
      </c>
      <c r="E81" s="4">
        <v>15</v>
      </c>
      <c r="F81" s="4">
        <v>0</v>
      </c>
      <c r="G81" s="4">
        <f>H81-C81</f>
        <v>105</v>
      </c>
      <c r="H81" s="4">
        <f t="shared" ref="H81:H87" si="33">I81*30</f>
        <v>150</v>
      </c>
      <c r="I81" s="4">
        <v>5</v>
      </c>
      <c r="J81" s="4" t="s">
        <v>12</v>
      </c>
      <c r="K81" s="73">
        <f t="shared" si="26"/>
        <v>90</v>
      </c>
      <c r="L81" s="73">
        <f t="shared" si="27"/>
        <v>75</v>
      </c>
      <c r="M81" s="73">
        <f t="shared" si="28"/>
        <v>15</v>
      </c>
      <c r="N81" s="7" t="str">
        <f>IF(O81=""," ",VLOOKUP(O81,'[8]2012 личен състав ОТД'!$A:$AO,2,FALSE))</f>
        <v>проф. дфн Любка Липчева-Пранджева</v>
      </c>
      <c r="O81" s="3" t="s">
        <v>495</v>
      </c>
      <c r="P81" s="7">
        <f>IF(O81=""," ",VLOOKUP(O81,'[8]2012 личен състав ОТД'!$A:$AO,13,FALSE))</f>
        <v>1961</v>
      </c>
      <c r="Q81" s="7" t="str">
        <f>IF(O81=""," ",VLOOKUP(O81,'[8]2012 личен състав ОТД'!$A:$AO,12,FALSE))</f>
        <v>ОТД</v>
      </c>
      <c r="R81" s="7" t="str">
        <f>IF(A81=""," ",VLOOKUP(A81,'Профилиращ лист'!A:B,2,FALSE))</f>
        <v>СПЕ</v>
      </c>
      <c r="T81" s="3">
        <f t="shared" ca="1" si="29"/>
        <v>52</v>
      </c>
    </row>
    <row r="82" spans="1:20" ht="15" customHeight="1" x14ac:dyDescent="0.25">
      <c r="A82" s="8" t="s">
        <v>116</v>
      </c>
      <c r="B82" s="4">
        <v>90</v>
      </c>
      <c r="C82" s="4">
        <v>75</v>
      </c>
      <c r="D82" s="4">
        <v>0</v>
      </c>
      <c r="E82" s="4">
        <v>0</v>
      </c>
      <c r="F82" s="4">
        <v>75</v>
      </c>
      <c r="G82" s="4">
        <f t="shared" ref="G82:G87" si="34">H82-C82</f>
        <v>135</v>
      </c>
      <c r="H82" s="4">
        <f t="shared" si="33"/>
        <v>210</v>
      </c>
      <c r="I82" s="4">
        <v>7</v>
      </c>
      <c r="J82" s="4" t="s">
        <v>12</v>
      </c>
      <c r="K82" s="73">
        <f t="shared" si="26"/>
        <v>630</v>
      </c>
      <c r="L82" s="73">
        <f t="shared" si="27"/>
        <v>0</v>
      </c>
      <c r="M82" s="73">
        <f t="shared" si="28"/>
        <v>630</v>
      </c>
      <c r="N82" s="7" t="str">
        <f>IF(O82=""," ",VLOOKUP(O82,'[8]2012 личен състав ОТД'!$A:$AO,2,FALSE))</f>
        <v xml:space="preserve"> </v>
      </c>
      <c r="O82" s="3"/>
      <c r="P82" s="7" t="str">
        <f>IF(O82=""," ",VLOOKUP(O82,'[8]2012 личен състав ОТД'!$A:$AO,13,FALSE))</f>
        <v xml:space="preserve"> </v>
      </c>
      <c r="Q82" s="7" t="str">
        <f>IF(O82=""," ",VLOOKUP(O82,'[8]2012 личен състав ОТД'!$A:$AO,12,FALSE))</f>
        <v xml:space="preserve"> </v>
      </c>
      <c r="R82" s="7" t="str">
        <f>IF(A82=""," ",VLOOKUP(A82,'Профилиращ лист'!A:B,2,FALSE))</f>
        <v>ПРА</v>
      </c>
      <c r="T82" s="3" t="e">
        <f t="shared" ca="1" si="29"/>
        <v>#VALUE!</v>
      </c>
    </row>
    <row r="83" spans="1:20" ht="15" customHeight="1" x14ac:dyDescent="0.25">
      <c r="A83" s="8" t="s">
        <v>71</v>
      </c>
      <c r="B83" s="4">
        <v>45</v>
      </c>
      <c r="C83" s="4">
        <v>45</v>
      </c>
      <c r="D83" s="4">
        <v>0</v>
      </c>
      <c r="E83" s="4">
        <v>0</v>
      </c>
      <c r="F83" s="4">
        <v>45</v>
      </c>
      <c r="G83" s="4">
        <f t="shared" si="34"/>
        <v>75</v>
      </c>
      <c r="H83" s="4">
        <f t="shared" si="33"/>
        <v>120</v>
      </c>
      <c r="I83" s="4">
        <v>4</v>
      </c>
      <c r="J83" s="4" t="s">
        <v>12</v>
      </c>
      <c r="K83" s="73">
        <f t="shared" si="26"/>
        <v>45</v>
      </c>
      <c r="L83" s="73">
        <f t="shared" si="27"/>
        <v>0</v>
      </c>
      <c r="M83" s="73">
        <f t="shared" si="28"/>
        <v>45</v>
      </c>
      <c r="N83" s="7" t="str">
        <f>IF(O83=""," ",VLOOKUP(O83,'[8]2012 личен състав ОТД'!$A:$AO,2,FALSE))</f>
        <v xml:space="preserve"> </v>
      </c>
      <c r="O83" s="3"/>
      <c r="P83" s="7" t="str">
        <f>IF(O83=""," ",VLOOKUP(O83,'[8]2012 личен състав ОТД'!$A:$AO,13,FALSE))</f>
        <v xml:space="preserve"> </v>
      </c>
      <c r="Q83" s="7" t="str">
        <f>IF(O83=""," ",VLOOKUP(O83,'[8]2012 личен състав ОТД'!$A:$AO,12,FALSE))</f>
        <v xml:space="preserve"> </v>
      </c>
      <c r="R83" s="7" t="str">
        <f>IF(A83=""," ",VLOOKUP(A83,'Профилиращ лист'!A:B,2,FALSE))</f>
        <v>ПЕД</v>
      </c>
      <c r="T83" s="3" t="e">
        <f t="shared" ca="1" si="29"/>
        <v>#VALUE!</v>
      </c>
    </row>
    <row r="84" spans="1:20" ht="15" customHeight="1" x14ac:dyDescent="0.25">
      <c r="A84" s="8" t="s">
        <v>136</v>
      </c>
      <c r="B84" s="4">
        <v>30</v>
      </c>
      <c r="C84" s="4">
        <v>30</v>
      </c>
      <c r="D84" s="4">
        <v>0</v>
      </c>
      <c r="E84" s="4">
        <v>0</v>
      </c>
      <c r="F84" s="4">
        <v>30</v>
      </c>
      <c r="G84" s="4">
        <f t="shared" si="34"/>
        <v>60</v>
      </c>
      <c r="H84" s="4">
        <f t="shared" si="33"/>
        <v>90</v>
      </c>
      <c r="I84" s="4">
        <v>3</v>
      </c>
      <c r="J84" s="4" t="s">
        <v>12</v>
      </c>
      <c r="K84" s="73">
        <f t="shared" si="26"/>
        <v>30</v>
      </c>
      <c r="L84" s="73">
        <f t="shared" si="27"/>
        <v>0</v>
      </c>
      <c r="M84" s="73">
        <f t="shared" si="28"/>
        <v>30</v>
      </c>
      <c r="N84" s="7" t="str">
        <f>IF(O84=""," ",VLOOKUP(O84,'[8]2012 личен състав ОТД'!$A:$AO,2,FALSE))</f>
        <v xml:space="preserve"> </v>
      </c>
      <c r="O84" s="3"/>
      <c r="P84" s="7" t="str">
        <f>IF(O84=""," ",VLOOKUP(O84,'[8]2012 личен състав ОТД'!$A:$AO,13,FALSE))</f>
        <v xml:space="preserve"> </v>
      </c>
      <c r="Q84" s="7" t="str">
        <f>IF(O84=""," ",VLOOKUP(O84,'[8]2012 личен състав ОТД'!$A:$AO,12,FALSE))</f>
        <v xml:space="preserve"> </v>
      </c>
      <c r="R84" s="7" t="s">
        <v>253</v>
      </c>
      <c r="T84" s="3" t="e">
        <f t="shared" ca="1" si="29"/>
        <v>#VALUE!</v>
      </c>
    </row>
    <row r="85" spans="1:20" x14ac:dyDescent="0.25">
      <c r="A85" s="67" t="s">
        <v>134</v>
      </c>
      <c r="B85" s="8">
        <v>30</v>
      </c>
      <c r="C85" s="4">
        <v>30</v>
      </c>
      <c r="D85" s="4">
        <v>15</v>
      </c>
      <c r="E85" s="4">
        <v>15</v>
      </c>
      <c r="F85" s="4">
        <f>C85-D85-E85</f>
        <v>0</v>
      </c>
      <c r="G85" s="4">
        <f t="shared" si="34"/>
        <v>90</v>
      </c>
      <c r="H85" s="4">
        <f t="shared" si="33"/>
        <v>120</v>
      </c>
      <c r="I85" s="4">
        <v>4</v>
      </c>
      <c r="J85" s="6" t="s">
        <v>12</v>
      </c>
      <c r="K85" s="73">
        <f t="shared" si="26"/>
        <v>75</v>
      </c>
      <c r="L85" s="73">
        <f t="shared" si="27"/>
        <v>45</v>
      </c>
      <c r="M85" s="73">
        <f t="shared" si="28"/>
        <v>30</v>
      </c>
      <c r="N85" s="7" t="str">
        <f>IF(O85=""," ",VLOOKUP(O85,'[8]2012 личен състав ОТД'!$A:$AO,2,FALSE))</f>
        <v>гл. ас. д-р Кръстина Арбова</v>
      </c>
      <c r="O85" s="3" t="s">
        <v>502</v>
      </c>
      <c r="P85" s="7">
        <f>IF(O85=""," ",VLOOKUP(O85,'[8]2012 личен състав ОТД'!$A:$AO,13,FALSE))</f>
        <v>1963</v>
      </c>
      <c r="Q85" s="7" t="str">
        <f>IF(O85=""," ",VLOOKUP(O85,'[8]2012 личен състав ОТД'!$A:$AO,12,FALSE))</f>
        <v>ОТД</v>
      </c>
      <c r="R85" s="7" t="str">
        <f>IF(A85=""," ",VLOOKUP(A85,'Профилиращ лист'!A:B,2,FALSE))</f>
        <v>ОФД</v>
      </c>
      <c r="T85" s="3">
        <f t="shared" ca="1" si="29"/>
        <v>50</v>
      </c>
    </row>
    <row r="86" spans="1:20" x14ac:dyDescent="0.25">
      <c r="A86" s="67" t="s">
        <v>74</v>
      </c>
      <c r="B86" s="4">
        <v>30</v>
      </c>
      <c r="C86" s="4">
        <v>45</v>
      </c>
      <c r="D86" s="4">
        <v>30</v>
      </c>
      <c r="E86" s="4">
        <v>15</v>
      </c>
      <c r="F86" s="4">
        <v>0</v>
      </c>
      <c r="G86" s="4">
        <f t="shared" si="34"/>
        <v>75</v>
      </c>
      <c r="H86" s="4">
        <f t="shared" si="33"/>
        <v>120</v>
      </c>
      <c r="I86" s="4">
        <v>4</v>
      </c>
      <c r="J86" s="4" t="s">
        <v>12</v>
      </c>
      <c r="K86" s="73">
        <f t="shared" si="26"/>
        <v>45</v>
      </c>
      <c r="L86" s="73">
        <f t="shared" si="27"/>
        <v>30</v>
      </c>
      <c r="M86" s="73">
        <f t="shared" si="28"/>
        <v>15</v>
      </c>
      <c r="N86" s="7" t="str">
        <f>IF(O86=""," ",VLOOKUP(O86,'[8]2012 личен състав ОТД'!$A:$AO,2,FALSE))</f>
        <v>доц. дфн Вера Маровска</v>
      </c>
      <c r="O86" s="3" t="str">
        <f>IF(A86=""," ",VLOOKUP(A86,'Български и английски език'!A:O,15,FALSE))</f>
        <v>маровска</v>
      </c>
      <c r="P86" s="7">
        <f>IF(O86=""," ",VLOOKUP(O86,'[8]2012 личен състав ОТД'!$A:$AO,13,FALSE))</f>
        <v>1954</v>
      </c>
      <c r="Q86" s="7" t="str">
        <f>IF(O86=""," ",VLOOKUP(O86,'[8]2012 личен състав ОТД'!$A:$AO,12,FALSE))</f>
        <v>ОТД</v>
      </c>
      <c r="R86" s="7" t="str">
        <f>IF(A86=""," ",VLOOKUP(A86,'Профилиращ лист'!A:B,2,FALSE))</f>
        <v>СПЕ</v>
      </c>
      <c r="S86" s="3" t="s">
        <v>5</v>
      </c>
      <c r="T86" s="3">
        <f t="shared" ca="1" si="29"/>
        <v>59</v>
      </c>
    </row>
    <row r="87" spans="1:20" x14ac:dyDescent="0.25">
      <c r="A87" s="67" t="s">
        <v>137</v>
      </c>
      <c r="B87" s="4">
        <v>30</v>
      </c>
      <c r="C87" s="4">
        <v>30</v>
      </c>
      <c r="D87" s="4">
        <v>15</v>
      </c>
      <c r="E87" s="4">
        <v>15</v>
      </c>
      <c r="F87" s="4">
        <v>0</v>
      </c>
      <c r="G87" s="4">
        <f t="shared" si="34"/>
        <v>60</v>
      </c>
      <c r="H87" s="4">
        <f t="shared" si="33"/>
        <v>90</v>
      </c>
      <c r="I87" s="4">
        <v>3</v>
      </c>
      <c r="J87" s="4" t="s">
        <v>12</v>
      </c>
      <c r="K87" s="73">
        <f t="shared" si="26"/>
        <v>30</v>
      </c>
      <c r="L87" s="73">
        <f t="shared" si="27"/>
        <v>15</v>
      </c>
      <c r="M87" s="73">
        <f t="shared" si="28"/>
        <v>15</v>
      </c>
      <c r="N87" s="7" t="str">
        <f>IF(O87=""," ",VLOOKUP(O87,'[8]2012 личен състав ОТД'!$A:$AO,2,FALSE))</f>
        <v>гл. ас. д-р Юлиана Чакърова-Бурлакова</v>
      </c>
      <c r="O87" s="3" t="s">
        <v>499</v>
      </c>
      <c r="P87" s="7">
        <f>IF(O87=""," ",VLOOKUP(O87,'[8]2012 личен състав ОТД'!$A:$AO,13,FALSE))</f>
        <v>1964</v>
      </c>
      <c r="Q87" s="7" t="str">
        <f>IF(O87=""," ",VLOOKUP(O87,'[8]2012 личен състав ОТД'!$A:$AO,12,FALSE))</f>
        <v>ОТД</v>
      </c>
      <c r="R87" s="7" t="str">
        <f>IF(A87=""," ",VLOOKUP(A87,'Профилиращ лист'!A:B,2,FALSE))</f>
        <v>СПЕ</v>
      </c>
      <c r="T87" s="3">
        <f t="shared" ca="1" si="29"/>
        <v>49</v>
      </c>
    </row>
    <row r="88" spans="1:20" ht="15" customHeight="1" x14ac:dyDescent="0.25">
      <c r="A88" s="8"/>
      <c r="B88" s="9">
        <f t="shared" ref="B88:I88" si="35">SUM(B81:B87)</f>
        <v>285</v>
      </c>
      <c r="C88" s="9">
        <f t="shared" si="35"/>
        <v>300</v>
      </c>
      <c r="D88" s="9">
        <f t="shared" si="35"/>
        <v>90</v>
      </c>
      <c r="E88" s="9">
        <f t="shared" si="35"/>
        <v>60</v>
      </c>
      <c r="F88" s="9">
        <f t="shared" si="35"/>
        <v>150</v>
      </c>
      <c r="G88" s="9">
        <f t="shared" si="35"/>
        <v>600</v>
      </c>
      <c r="H88" s="9">
        <f t="shared" si="35"/>
        <v>900</v>
      </c>
      <c r="I88" s="9">
        <f t="shared" si="35"/>
        <v>30</v>
      </c>
      <c r="J88" s="6"/>
      <c r="N88" s="7" t="str">
        <f>IF(O88=""," ",VLOOKUP(O88,'[8]2012 личен състав ОТД'!$A:$AO,2,FALSE))</f>
        <v xml:space="preserve"> </v>
      </c>
      <c r="O88" s="3"/>
      <c r="P88" s="7" t="str">
        <f>IF(O88=""," ",VLOOKUP(O88,'[8]2012 личен състав ОТД'!$A:$AO,13,FALSE))</f>
        <v xml:space="preserve"> </v>
      </c>
      <c r="Q88" s="7" t="str">
        <f>IF(O88=""," ",VLOOKUP(O88,'[8]2012 личен състав ОТД'!$A:$AO,12,FALSE))</f>
        <v xml:space="preserve"> </v>
      </c>
      <c r="R88" s="7" t="str">
        <f>IF(A88=""," ",VLOOKUP(A88,'Профилиращ лист'!A:B,2,FALSE))</f>
        <v xml:space="preserve"> </v>
      </c>
      <c r="T88" s="3" t="e">
        <f t="shared" ca="1" si="29"/>
        <v>#VALUE!</v>
      </c>
    </row>
    <row r="89" spans="1:20" ht="15" customHeight="1" x14ac:dyDescent="0.25">
      <c r="A89" s="1" t="s">
        <v>75</v>
      </c>
      <c r="B89" s="1"/>
      <c r="J89" s="6"/>
      <c r="N89" s="7" t="str">
        <f>IF(O89=""," ",VLOOKUP(O89,'[8]2012 личен състав ОТД'!$A:$AO,2,FALSE))</f>
        <v xml:space="preserve"> </v>
      </c>
      <c r="O89" s="3"/>
      <c r="P89" s="7" t="str">
        <f>IF(O89=""," ",VLOOKUP(O89,'[8]2012 личен състав ОТД'!$A:$AO,13,FALSE))</f>
        <v xml:space="preserve"> </v>
      </c>
      <c r="Q89" s="7" t="str">
        <f>IF(O89=""," ",VLOOKUP(O89,'[8]2012 личен състав ОТД'!$A:$AO,12,FALSE))</f>
        <v xml:space="preserve"> </v>
      </c>
      <c r="T89" s="3" t="e">
        <f t="shared" ca="1" si="29"/>
        <v>#VALUE!</v>
      </c>
    </row>
    <row r="90" spans="1:20" x14ac:dyDescent="0.25">
      <c r="A90" s="67" t="s">
        <v>77</v>
      </c>
      <c r="I90" s="4">
        <v>2</v>
      </c>
      <c r="J90" s="6" t="s">
        <v>12</v>
      </c>
      <c r="N90" s="7" t="str">
        <f>IF(O90=""," ",VLOOKUP(O90,'[8]2012 личен състав ОТД'!$A:$AO,2,FALSE))</f>
        <v xml:space="preserve"> </v>
      </c>
      <c r="O90" s="3"/>
      <c r="P90" s="7" t="str">
        <f>IF(O90=""," ",VLOOKUP(O90,'[8]2012 личен състав ОТД'!$A:$AO,13,FALSE))</f>
        <v xml:space="preserve"> </v>
      </c>
      <c r="Q90" s="7" t="str">
        <f>IF(O90=""," ",VLOOKUP(O90,'[8]2012 личен състав ОТД'!$A:$AO,12,FALSE))</f>
        <v xml:space="preserve"> </v>
      </c>
      <c r="T90" s="3" t="e">
        <f t="shared" ca="1" si="29"/>
        <v>#VALUE!</v>
      </c>
    </row>
    <row r="91" spans="1:20" x14ac:dyDescent="0.25">
      <c r="A91" s="67" t="s">
        <v>138</v>
      </c>
      <c r="I91" s="4">
        <v>2</v>
      </c>
      <c r="J91" s="6" t="s">
        <v>12</v>
      </c>
      <c r="N91" s="7" t="str">
        <f>IF(O91=""," ",VLOOKUP(O91,'[8]2012 личен състав ОТД'!$A:$AO,2,FALSE))</f>
        <v xml:space="preserve"> </v>
      </c>
      <c r="O91" s="3"/>
      <c r="P91" s="7" t="str">
        <f>IF(O91=""," ",VLOOKUP(O91,'[8]2012 личен състав ОТД'!$A:$AO,13,FALSE))</f>
        <v xml:space="preserve"> </v>
      </c>
      <c r="Q91" s="7" t="str">
        <f>IF(O91=""," ",VLOOKUP(O91,'[8]2012 личен състав ОТД'!$A:$AO,12,FALSE))</f>
        <v xml:space="preserve"> </v>
      </c>
      <c r="T91" s="3" t="e">
        <f t="shared" ca="1" si="29"/>
        <v>#VALUE!</v>
      </c>
    </row>
    <row r="92" spans="1:20" x14ac:dyDescent="0.25">
      <c r="A92" s="67" t="s">
        <v>79</v>
      </c>
      <c r="I92" s="4">
        <v>3</v>
      </c>
      <c r="J92" s="6" t="s">
        <v>12</v>
      </c>
      <c r="N92" s="7" t="str">
        <f>IF(O92=""," ",VLOOKUP(O92,'[8]2012 личен състав ОТД'!$A:$AO,2,FALSE))</f>
        <v xml:space="preserve"> </v>
      </c>
      <c r="O92" s="3"/>
      <c r="P92" s="7" t="str">
        <f>IF(O92=""," ",VLOOKUP(O92,'[8]2012 личен състав ОТД'!$A:$AO,13,FALSE))</f>
        <v xml:space="preserve"> </v>
      </c>
      <c r="Q92" s="7" t="str">
        <f>IF(O92=""," ",VLOOKUP(O92,'[8]2012 личен състав ОТД'!$A:$AO,12,FALSE))</f>
        <v xml:space="preserve"> </v>
      </c>
      <c r="T92" s="3" t="e">
        <f t="shared" ca="1" si="29"/>
        <v>#VALUE!</v>
      </c>
    </row>
    <row r="93" spans="1:20" x14ac:dyDescent="0.25">
      <c r="A93" s="67" t="s">
        <v>139</v>
      </c>
      <c r="I93" s="4">
        <v>3</v>
      </c>
      <c r="J93" s="6" t="s">
        <v>12</v>
      </c>
      <c r="N93" s="7" t="str">
        <f>IF(O93=""," ",VLOOKUP(O93,'[8]2012 личен състав ОТД'!$A:$AO,2,FALSE))</f>
        <v xml:space="preserve"> </v>
      </c>
      <c r="O93" s="3"/>
      <c r="P93" s="7" t="str">
        <f>IF(O93=""," ",VLOOKUP(O93,'[8]2012 личен състав ОТД'!$A:$AO,13,FALSE))</f>
        <v xml:space="preserve"> </v>
      </c>
      <c r="Q93" s="7" t="str">
        <f>IF(O93=""," ",VLOOKUP(O93,'[8]2012 личен състав ОТД'!$A:$AO,12,FALSE))</f>
        <v xml:space="preserve"> </v>
      </c>
      <c r="T93" s="3" t="e">
        <f t="shared" ca="1" si="29"/>
        <v>#VALUE!</v>
      </c>
    </row>
    <row r="94" spans="1:20" ht="15" customHeight="1" x14ac:dyDescent="0.25">
      <c r="A94" s="8"/>
      <c r="I94" s="9">
        <v>10</v>
      </c>
      <c r="J94" s="6"/>
      <c r="N94" s="7" t="str">
        <f>IF(O94=""," ",VLOOKUP(O94,'[8]2012 личен състав ОТД'!$A:$AO,2,FALSE))</f>
        <v xml:space="preserve"> </v>
      </c>
      <c r="O94" s="3"/>
      <c r="P94" s="7" t="str">
        <f>IF(O94=""," ",VLOOKUP(O94,'[8]2012 личен състав ОТД'!$A:$AO,13,FALSE))</f>
        <v xml:space="preserve"> </v>
      </c>
      <c r="Q94" s="7" t="str">
        <f>IF(O94=""," ",VLOOKUP(O94,'[8]2012 личен състав ОТД'!$A:$AO,12,FALSE))</f>
        <v xml:space="preserve"> </v>
      </c>
      <c r="T94" s="3" t="e">
        <f t="shared" ca="1" si="29"/>
        <v>#VALUE!</v>
      </c>
    </row>
    <row r="95" spans="1:20" ht="15.95" customHeight="1" x14ac:dyDescent="0.25">
      <c r="A95" s="12" t="s">
        <v>80</v>
      </c>
      <c r="B95" s="9">
        <f t="shared" ref="B95:H95" si="36">B88+B79+B67+B55+B44+B34+B22+B11</f>
        <v>2595</v>
      </c>
      <c r="C95" s="9">
        <f t="shared" si="36"/>
        <v>2925</v>
      </c>
      <c r="D95" s="9">
        <f t="shared" si="36"/>
        <v>1290</v>
      </c>
      <c r="E95" s="9">
        <f t="shared" si="36"/>
        <v>570</v>
      </c>
      <c r="F95" s="9">
        <f t="shared" si="36"/>
        <v>1065</v>
      </c>
      <c r="G95" s="9">
        <f t="shared" si="36"/>
        <v>4275</v>
      </c>
      <c r="H95" s="9">
        <f t="shared" si="36"/>
        <v>7200</v>
      </c>
      <c r="I95" s="11">
        <f>I88+I79+I67+I55+I44+I34+I22+I11+I94</f>
        <v>250</v>
      </c>
      <c r="K95" s="73">
        <f>SUMIF(A:A,A95,C:C)</f>
        <v>2925</v>
      </c>
      <c r="L95" s="73">
        <f>SUMIF(A:A,A95,D:D)</f>
        <v>1290</v>
      </c>
      <c r="M95" s="73">
        <f>SUMIF(A:A,A95,E:E)+SUMIF(A:A,A95,F:F)</f>
        <v>1635</v>
      </c>
      <c r="N95" s="7" t="str">
        <f>IF(O95=""," ",VLOOKUP(O95,'[8]2012 личен състав ОТД'!$A:$AO,2,FALSE))</f>
        <v xml:space="preserve"> </v>
      </c>
      <c r="O95" s="3"/>
      <c r="P95" s="7" t="str">
        <f>IF(O95=""," ",VLOOKUP(O95,'[8]2012 личен състав ОТД'!$A:$AO,13,FALSE))</f>
        <v xml:space="preserve"> </v>
      </c>
      <c r="Q95" s="7" t="str">
        <f>IF(O95=""," ",VLOOKUP(O95,'[8]2012 личен състав ОТД'!$A:$AO,12,FALSE))</f>
        <v xml:space="preserve"> </v>
      </c>
      <c r="T95" s="3" t="e">
        <f t="shared" ca="1" si="29"/>
        <v>#VALUE!</v>
      </c>
    </row>
    <row r="96" spans="1:20" ht="18" customHeight="1" x14ac:dyDescent="0.25">
      <c r="A96" s="8"/>
      <c r="C96" s="4">
        <f t="shared" ref="C96:H96" si="37">C95/120</f>
        <v>24.375</v>
      </c>
      <c r="D96" s="4">
        <f t="shared" si="37"/>
        <v>10.75</v>
      </c>
      <c r="E96" s="4">
        <f t="shared" si="37"/>
        <v>4.75</v>
      </c>
      <c r="F96" s="4">
        <f t="shared" si="37"/>
        <v>8.875</v>
      </c>
      <c r="G96" s="4">
        <f t="shared" si="37"/>
        <v>35.625</v>
      </c>
      <c r="H96" s="4">
        <f t="shared" si="37"/>
        <v>60</v>
      </c>
      <c r="N96" s="7" t="str">
        <f>IF(O96=""," ",VLOOKUP(O96,'[8]2012 личен състав ОТД'!$A:$AO,2,FALSE))</f>
        <v xml:space="preserve"> </v>
      </c>
      <c r="O96" s="3"/>
      <c r="P96" s="7" t="str">
        <f>IF(O96=""," ",VLOOKUP(O96,'[8]2012 личен състав ОТД'!$A:$AO,13,FALSE))</f>
        <v xml:space="preserve"> </v>
      </c>
      <c r="Q96" s="7" t="str">
        <f>IF(O96=""," ",VLOOKUP(O96,'[8]2012 личен състав ОТД'!$A:$AO,12,FALSE))</f>
        <v xml:space="preserve"> </v>
      </c>
      <c r="R96" s="7" t="str">
        <f>IF(A96=""," ",VLOOKUP(A96,'Профилиращ лист'!A:B,2,FALSE))</f>
        <v xml:space="preserve"> </v>
      </c>
    </row>
    <row r="97" spans="1:18" ht="18" customHeight="1" x14ac:dyDescent="0.25">
      <c r="A97" s="8"/>
      <c r="N97" s="7" t="str">
        <f>IF(O97=""," ",VLOOKUP(O97,'[8]2012 личен състав ОТД'!$A:$AO,2,FALSE))</f>
        <v xml:space="preserve"> </v>
      </c>
      <c r="O97" s="3"/>
      <c r="P97" s="7" t="str">
        <f>IF(O97=""," ",VLOOKUP(O97,'[8]2012 личен състав ОТД'!$A:$AO,13,FALSE))</f>
        <v xml:space="preserve"> </v>
      </c>
      <c r="Q97" s="7" t="str">
        <f>IF(O97=""," ",VLOOKUP(O97,'[8]2012 личен състав ОТД'!$A:$AO,12,FALSE))</f>
        <v xml:space="preserve"> </v>
      </c>
      <c r="R97" s="7" t="str">
        <f>IF(A97=""," ",VLOOKUP(A97,'Профилиращ лист'!A:B,2,FALSE))</f>
        <v xml:space="preserve"> </v>
      </c>
    </row>
    <row r="98" spans="1:18" ht="18" customHeight="1" x14ac:dyDescent="0.25">
      <c r="A98" s="8"/>
      <c r="N98" s="7" t="str">
        <f>IF(O98=""," ",VLOOKUP(O98,'[8]2012 личен състав ОТД'!$A:$AO,2,FALSE))</f>
        <v xml:space="preserve"> </v>
      </c>
      <c r="O98" s="3"/>
      <c r="P98" s="7" t="str">
        <f>IF(O98=""," ",VLOOKUP(O98,'[8]2012 личен състав ОТД'!$A:$AO,13,FALSE))</f>
        <v xml:space="preserve"> </v>
      </c>
      <c r="Q98" s="7" t="str">
        <f>IF(O98=""," ",VLOOKUP(O98,'[8]2012 личен състав ОТД'!$A:$AO,12,FALSE))</f>
        <v xml:space="preserve"> </v>
      </c>
      <c r="R98" s="7" t="str">
        <f>IF(A98=""," ",VLOOKUP(A98,'Профилиращ лист'!A:B,2,FALSE))</f>
        <v xml:space="preserve"> </v>
      </c>
    </row>
    <row r="99" spans="1:18" ht="18" customHeight="1" x14ac:dyDescent="0.25">
      <c r="A99" s="8"/>
      <c r="N99" s="7" t="str">
        <f>IF(O99=""," ",VLOOKUP(O99,'[8]2012 личен състав ОТД'!$A:$AO,2,FALSE))</f>
        <v xml:space="preserve"> </v>
      </c>
      <c r="O99" s="3"/>
      <c r="P99" s="7" t="str">
        <f>IF(O99=""," ",VLOOKUP(O99,'[8]2012 личен състав ОТД'!$A:$AO,13,FALSE))</f>
        <v xml:space="preserve"> </v>
      </c>
      <c r="Q99" s="7" t="str">
        <f>IF(O99=""," ",VLOOKUP(O99,'[8]2012 личен състав ОТД'!$A:$AO,12,FALSE))</f>
        <v xml:space="preserve"> </v>
      </c>
      <c r="R99" s="7" t="str">
        <f>IF(A99=""," ",VLOOKUP(A99,'Профилиращ лист'!A:B,2,FALSE))</f>
        <v xml:space="preserve"> </v>
      </c>
    </row>
    <row r="100" spans="1:18" ht="18" customHeight="1" x14ac:dyDescent="0.25">
      <c r="A100" s="8"/>
      <c r="N100" s="7" t="str">
        <f>IF(O100=""," ",VLOOKUP(O100,'[8]2012 личен състав ОТД'!$A:$AO,2,FALSE))</f>
        <v xml:space="preserve"> </v>
      </c>
      <c r="O100" s="3"/>
      <c r="P100" s="7" t="str">
        <f>IF(O100=""," ",VLOOKUP(O100,'[8]2012 личен състав ОТД'!$A:$AO,13,FALSE))</f>
        <v xml:space="preserve"> </v>
      </c>
      <c r="Q100" s="7" t="str">
        <f>IF(O100=""," ",VLOOKUP(O100,'[8]2012 личен състав ОТД'!$A:$AO,12,FALSE))</f>
        <v xml:space="preserve"> </v>
      </c>
      <c r="R100" s="7" t="str">
        <f>IF(A100=""," ",VLOOKUP(A100,'Профилиращ лист'!A:B,2,FALSE))</f>
        <v xml:space="preserve"> </v>
      </c>
    </row>
    <row r="101" spans="1:18" ht="18" customHeight="1" x14ac:dyDescent="0.25">
      <c r="A101" s="8"/>
      <c r="N101" s="7" t="str">
        <f>IF(O101=""," ",VLOOKUP(O101,'[8]2012 личен състав ОТД'!$A:$AO,2,FALSE))</f>
        <v xml:space="preserve"> </v>
      </c>
      <c r="O101" s="3"/>
      <c r="P101" s="7" t="str">
        <f>IF(O101=""," ",VLOOKUP(O101,'[8]2012 личен състав ОТД'!$A:$AO,13,FALSE))</f>
        <v xml:space="preserve"> </v>
      </c>
      <c r="Q101" s="7" t="str">
        <f>IF(O101=""," ",VLOOKUP(O101,'[8]2012 личен състав ОТД'!$A:$AO,12,FALSE))</f>
        <v xml:space="preserve"> </v>
      </c>
      <c r="R101" s="7" t="str">
        <f>IF(A101=""," ",VLOOKUP(A101,'Профилиращ лист'!A:B,2,FALSE))</f>
        <v xml:space="preserve"> </v>
      </c>
    </row>
    <row r="102" spans="1:18" ht="18" customHeight="1" x14ac:dyDescent="0.25">
      <c r="A102" s="8"/>
      <c r="N102" s="7" t="str">
        <f>IF(O102=""," ",VLOOKUP(O102,'[8]2012 личен състав ОТД'!$A:$AO,2,FALSE))</f>
        <v xml:space="preserve"> </v>
      </c>
      <c r="O102" s="3"/>
      <c r="P102" s="7" t="str">
        <f>IF(O102=""," ",VLOOKUP(O102,'[8]2012 личен състав ОТД'!$A:$AO,13,FALSE))</f>
        <v xml:space="preserve"> </v>
      </c>
      <c r="Q102" s="7" t="str">
        <f>IF(O102=""," ",VLOOKUP(O102,'[8]2012 личен състав ОТД'!$A:$AO,12,FALSE))</f>
        <v xml:space="preserve"> </v>
      </c>
      <c r="R102" s="7" t="str">
        <f>IF(A102=""," ",VLOOKUP(A102,'Профилиращ лист'!A:B,2,FALSE))</f>
        <v xml:space="preserve"> </v>
      </c>
    </row>
    <row r="103" spans="1:18" ht="18" customHeight="1" x14ac:dyDescent="0.25">
      <c r="A103" s="8"/>
      <c r="N103" s="7" t="str">
        <f>IF(O103=""," ",VLOOKUP(O103,'[8]2012 личен състав ОТД'!$A:$AO,2,FALSE))</f>
        <v xml:space="preserve"> </v>
      </c>
      <c r="O103" s="3"/>
      <c r="P103" s="7" t="str">
        <f>IF(O103=""," ",VLOOKUP(O103,'[8]2012 личен състав ОТД'!$A:$AO,13,FALSE))</f>
        <v xml:space="preserve"> </v>
      </c>
      <c r="Q103" s="7" t="str">
        <f>IF(O103=""," ",VLOOKUP(O103,'[8]2012 личен състав ОТД'!$A:$AO,12,FALSE))</f>
        <v xml:space="preserve"> </v>
      </c>
      <c r="R103" s="7" t="str">
        <f>IF(A103=""," ",VLOOKUP(A103,'Профилиращ лист'!A:B,2,FALSE))</f>
        <v xml:space="preserve"> </v>
      </c>
    </row>
    <row r="104" spans="1:18" ht="18" customHeight="1" x14ac:dyDescent="0.25">
      <c r="A104" s="8"/>
      <c r="N104" s="7" t="str">
        <f>IF(O104=""," ",VLOOKUP(O104,'[8]2012 личен състав ОТД'!$A:$AO,2,FALSE))</f>
        <v xml:space="preserve"> </v>
      </c>
      <c r="O104" s="3"/>
      <c r="P104" s="7" t="str">
        <f>IF(O104=""," ",VLOOKUP(O104,'[8]2012 личен състав ОТД'!$A:$AO,13,FALSE))</f>
        <v xml:space="preserve"> </v>
      </c>
      <c r="Q104" s="7" t="str">
        <f>IF(O104=""," ",VLOOKUP(O104,'[8]2012 личен състав ОТД'!$A:$AO,12,FALSE))</f>
        <v xml:space="preserve"> </v>
      </c>
      <c r="R104" s="7" t="str">
        <f>IF(A104=""," ",VLOOKUP(A104,'Профилиращ лист'!A:B,2,FALSE))</f>
        <v xml:space="preserve"> </v>
      </c>
    </row>
    <row r="105" spans="1:18" ht="18" customHeight="1" x14ac:dyDescent="0.25">
      <c r="A105" s="8"/>
      <c r="N105" s="7" t="str">
        <f>IF(O105=""," ",VLOOKUP(O105,'[8]2012 личен състав ОТД'!$A:$AO,2,FALSE))</f>
        <v xml:space="preserve"> </v>
      </c>
      <c r="O105" s="3"/>
      <c r="P105" s="7" t="str">
        <f>IF(O105=""," ",VLOOKUP(O105,'[8]2012 личен състав ОТД'!$A:$AO,13,FALSE))</f>
        <v xml:space="preserve"> </v>
      </c>
      <c r="Q105" s="7" t="str">
        <f>IF(O105=""," ",VLOOKUP(O105,'[8]2012 личен състав ОТД'!$A:$AO,12,FALSE))</f>
        <v xml:space="preserve"> </v>
      </c>
      <c r="R105" s="7" t="str">
        <f>IF(A105=""," ",VLOOKUP(A105,'Профилиращ лист'!A:B,2,FALSE))</f>
        <v xml:space="preserve"> </v>
      </c>
    </row>
    <row r="106" spans="1:18" ht="18" customHeight="1" x14ac:dyDescent="0.25">
      <c r="A106" s="8"/>
      <c r="N106" s="7" t="str">
        <f>IF(O106=""," ",VLOOKUP(O106,'[8]2012 личен състав ОТД'!$A:$AO,2,FALSE))</f>
        <v xml:space="preserve"> </v>
      </c>
      <c r="O106" s="3"/>
      <c r="P106" s="7" t="str">
        <f>IF(O106=""," ",VLOOKUP(O106,'[8]2012 личен състав ОТД'!$A:$AO,13,FALSE))</f>
        <v xml:space="preserve"> </v>
      </c>
      <c r="Q106" s="7" t="str">
        <f>IF(O106=""," ",VLOOKUP(O106,'[8]2012 личен състав ОТД'!$A:$AO,12,FALSE))</f>
        <v xml:space="preserve"> </v>
      </c>
      <c r="R106" s="7" t="str">
        <f>IF(A106=""," ",VLOOKUP(A106,'Профилиращ лист'!A:B,2,FALSE))</f>
        <v xml:space="preserve"> </v>
      </c>
    </row>
    <row r="107" spans="1:18" ht="18" customHeight="1" x14ac:dyDescent="0.25">
      <c r="A107" s="8"/>
      <c r="N107" s="7" t="str">
        <f>IF(O107=""," ",VLOOKUP(O107,'[8]2012 личен състав ОТД'!$A:$AO,2,FALSE))</f>
        <v xml:space="preserve"> </v>
      </c>
      <c r="O107" s="3"/>
      <c r="P107" s="7" t="str">
        <f>IF(O107=""," ",VLOOKUP(O107,'[8]2012 личен състав ОТД'!$A:$AO,13,FALSE))</f>
        <v xml:space="preserve"> </v>
      </c>
      <c r="Q107" s="7" t="str">
        <f>IF(O107=""," ",VLOOKUP(O107,'[8]2012 личен състав ОТД'!$A:$AO,12,FALSE))</f>
        <v xml:space="preserve"> </v>
      </c>
      <c r="R107" s="7" t="str">
        <f>IF(A107=""," ",VLOOKUP(A107,'Профилиращ лист'!A:B,2,FALSE))</f>
        <v xml:space="preserve"> </v>
      </c>
    </row>
    <row r="108" spans="1:18" ht="18" customHeight="1" x14ac:dyDescent="0.25">
      <c r="A108" s="8"/>
      <c r="N108" s="7" t="str">
        <f>IF(O108=""," ",VLOOKUP(O108,'[8]2012 личен състав ОТД'!$A:$AO,2,FALSE))</f>
        <v xml:space="preserve"> </v>
      </c>
      <c r="O108" s="3"/>
      <c r="P108" s="7" t="str">
        <f>IF(O108=""," ",VLOOKUP(O108,'[8]2012 личен състав ОТД'!$A:$AO,13,FALSE))</f>
        <v xml:space="preserve"> </v>
      </c>
      <c r="Q108" s="7" t="str">
        <f>IF(O108=""," ",VLOOKUP(O108,'[8]2012 личен състав ОТД'!$A:$AO,12,FALSE))</f>
        <v xml:space="preserve"> </v>
      </c>
      <c r="R108" s="7" t="str">
        <f>IF(A108=""," ",VLOOKUP(A108,'Профилиращ лист'!A:B,2,FALSE))</f>
        <v xml:space="preserve"> </v>
      </c>
    </row>
  </sheetData>
  <mergeCells count="5">
    <mergeCell ref="V6:W6"/>
    <mergeCell ref="X6:Y6"/>
    <mergeCell ref="Z6:AA6"/>
    <mergeCell ref="AB6:AC6"/>
    <mergeCell ref="AD6:AE6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2" fitToHeight="2" orientation="portrait" r:id="rId1"/>
  <headerFooter alignWithMargins="0">
    <oddHeader>&amp;LРедовно обучение,
бакалавърска степен&amp;C&amp;14УЧЕБЕН ПЛАН: &amp;A</oddHead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6" tint="-0.249977111117893"/>
  </sheetPr>
  <dimension ref="A1:AE122"/>
  <sheetViews>
    <sheetView zoomScale="70" zoomScaleNormal="70" zoomScaleSheetLayoutView="140" workbookViewId="0">
      <pane xSplit="2" ySplit="2" topLeftCell="J3" activePane="bottomRight" state="frozen"/>
      <selection activeCell="T1" sqref="T1:T97"/>
      <selection pane="topRight" activeCell="T1" sqref="T1:T97"/>
      <selection pane="bottomLeft" activeCell="T1" sqref="T1:T97"/>
      <selection pane="bottomRight" activeCell="T1" sqref="T1:T97"/>
    </sheetView>
  </sheetViews>
  <sheetFormatPr defaultRowHeight="15" x14ac:dyDescent="0.25"/>
  <cols>
    <col min="1" max="1" width="55.7109375" style="85" customWidth="1"/>
    <col min="2" max="2" width="3.7109375" style="52" customWidth="1"/>
    <col min="3" max="8" width="4.7109375" style="54" customWidth="1"/>
    <col min="9" max="9" width="3.7109375" style="55" customWidth="1"/>
    <col min="10" max="10" width="6.85546875" style="56" customWidth="1"/>
    <col min="11" max="13" width="5.85546875" style="74" customWidth="1"/>
    <col min="14" max="14" width="28.42578125" style="49" customWidth="1"/>
    <col min="15" max="15" width="13.28515625" style="49" customWidth="1"/>
    <col min="16" max="17" width="10.7109375" style="49" customWidth="1"/>
    <col min="18" max="18" width="7.5703125" style="49" customWidth="1"/>
    <col min="19" max="20" width="14" style="49" customWidth="1"/>
    <col min="21" max="21" width="11.85546875" style="49" customWidth="1"/>
    <col min="22" max="16384" width="9.140625" style="49"/>
  </cols>
  <sheetData>
    <row r="1" spans="1:31" s="48" customFormat="1" x14ac:dyDescent="0.25">
      <c r="A1" s="69" t="s">
        <v>81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" t="s">
        <v>578</v>
      </c>
      <c r="T1" s="1" t="s">
        <v>629</v>
      </c>
      <c r="U1" s="111" t="s">
        <v>577</v>
      </c>
      <c r="V1" s="48" t="s">
        <v>255</v>
      </c>
      <c r="W1" s="48" t="s">
        <v>265</v>
      </c>
      <c r="X1" s="48" t="s">
        <v>253</v>
      </c>
      <c r="Y1" s="48" t="s">
        <v>263</v>
      </c>
      <c r="Z1" s="48" t="s">
        <v>272</v>
      </c>
      <c r="AA1" s="48" t="s">
        <v>406</v>
      </c>
      <c r="AB1" s="48" t="s">
        <v>573</v>
      </c>
      <c r="AC1" s="48" t="s">
        <v>607</v>
      </c>
      <c r="AD1" s="49" t="s">
        <v>575</v>
      </c>
      <c r="AE1" s="49" t="s">
        <v>576</v>
      </c>
    </row>
    <row r="2" spans="1:31" x14ac:dyDescent="0.25">
      <c r="A2" s="69" t="s">
        <v>10</v>
      </c>
      <c r="B2" s="1"/>
      <c r="C2" s="4"/>
      <c r="D2" s="4"/>
      <c r="E2" s="4"/>
      <c r="F2" s="4"/>
      <c r="G2" s="4"/>
      <c r="H2" s="4"/>
      <c r="I2" s="5"/>
      <c r="J2" s="6">
        <v>1</v>
      </c>
      <c r="L2" s="73">
        <v>1</v>
      </c>
      <c r="O2" s="3">
        <f ca="1">YEAR(TODAY())</f>
        <v>2013</v>
      </c>
      <c r="P2" s="3">
        <f ca="1">O2-(AVERAGEIFS(P:P,L:L,"&gt;0",Q:Q,"ОТД"))</f>
        <v>56.911764705882433</v>
      </c>
      <c r="T2" s="49">
        <f ca="1">YEAR(TODAY())</f>
        <v>2013</v>
      </c>
      <c r="V2" s="49">
        <f ca="1">COUNTIFS(P:P,"&gt;1900",R:R,"СПЕ")</f>
        <v>17</v>
      </c>
      <c r="W2" s="49">
        <f ca="1">COUNTIFS(P:P,"&gt;1900",R:R,"ОФД")</f>
        <v>9</v>
      </c>
      <c r="X2" s="49">
        <f ca="1">COUNTIFS(P:P,"&gt;1900",R:R,"ПЕД")</f>
        <v>5</v>
      </c>
      <c r="Y2" s="49">
        <f>COUNTIF(R:R,"ПРА")</f>
        <v>8</v>
      </c>
      <c r="Z2" s="49">
        <f>COUNTIF(R:R,"ИЗБ")</f>
        <v>3</v>
      </c>
      <c r="AA2" s="49">
        <f>COUNTIF(R:R,"ФД")</f>
        <v>4</v>
      </c>
      <c r="AB2" s="49">
        <f ca="1">SUBTOTAL(9,V2:AA2)</f>
        <v>46</v>
      </c>
      <c r="AC2" s="49">
        <f ca="1">V2/AB2</f>
        <v>0.36956521739130432</v>
      </c>
      <c r="AD2" s="49">
        <f>(COUNTIFS(N:N,"проф.*",Q:Q,"ОТД")+COUNTIFS(N:N,"доц.*",Q:Q,"ОТД"))/COUNTIF(Q:Q,"ОТД")</f>
        <v>0.76470588235294112</v>
      </c>
      <c r="AE2" s="49">
        <f ca="1">COUNTIF(S:S,"У")/V2</f>
        <v>0.58823529411764708</v>
      </c>
    </row>
    <row r="3" spans="1:31" x14ac:dyDescent="0.25">
      <c r="A3" s="67" t="s">
        <v>11</v>
      </c>
      <c r="B3" s="4">
        <v>30</v>
      </c>
      <c r="C3" s="4">
        <f>'Български език и руски език'!C3/2</f>
        <v>15</v>
      </c>
      <c r="D3" s="4">
        <f>'Български език и руски език'!D3/2</f>
        <v>15</v>
      </c>
      <c r="E3" s="4">
        <f>'Български език и руски език'!E3</f>
        <v>0</v>
      </c>
      <c r="F3" s="4">
        <f>C3-D3-E3</f>
        <v>0</v>
      </c>
      <c r="G3" s="4">
        <f>H3-C3</f>
        <v>105</v>
      </c>
      <c r="H3" s="4">
        <v>120</v>
      </c>
      <c r="I3" s="4">
        <v>4</v>
      </c>
      <c r="J3" s="4" t="s">
        <v>12</v>
      </c>
      <c r="K3" s="73">
        <f>SUMIF(A:A,A3,C:C)</f>
        <v>15</v>
      </c>
      <c r="L3" s="73">
        <f>SUMIF(A:A,A3,D:D)</f>
        <v>15</v>
      </c>
      <c r="M3" s="74">
        <f>SUMIF(A:A,A3,E:E)+SUMIF(A:A,A3,F:F)</f>
        <v>0</v>
      </c>
      <c r="N3" s="49" t="str">
        <f>IF(O3=""," ",VLOOKUP(O3,'[8]2012 личен състав ОТД'!$A:$AO,2,FALSE))</f>
        <v>гл. ас. д-р Аделина Странджева</v>
      </c>
      <c r="O3" s="48" t="str">
        <f>IF(A3=""," ",VLOOKUP(A3,'Български език и руски език'!A:O,15,FALSE))</f>
        <v>странджева</v>
      </c>
      <c r="P3" s="49">
        <f>IF(O3=""," ",VLOOKUP(O3,'[8]2012 личен състав ОТД'!$A:$AO,13,FALSE))</f>
        <v>1960</v>
      </c>
      <c r="Q3" s="49" t="str">
        <f>IF(O3=""," ",VLOOKUP(O3,'[8]2012 личен състав ОТД'!$A:$AO,12,FALSE))</f>
        <v>ОТД</v>
      </c>
      <c r="R3" s="49" t="str">
        <f>IF(A3=""," ",VLOOKUP(A3,'Профилиращ лист'!A:B,2,FALSE))</f>
        <v>СПЕ</v>
      </c>
      <c r="S3" s="3"/>
      <c r="T3" s="3">
        <f t="shared" ref="T3:T34" ca="1" si="0">Години-P3</f>
        <v>53</v>
      </c>
    </row>
    <row r="4" spans="1:31" ht="18" hidden="1" customHeight="1" x14ac:dyDescent="0.25">
      <c r="A4" s="8" t="s">
        <v>13</v>
      </c>
      <c r="B4" s="4">
        <v>45</v>
      </c>
      <c r="C4" s="4">
        <v>25</v>
      </c>
      <c r="D4" s="4">
        <v>15</v>
      </c>
      <c r="E4" s="4">
        <v>10</v>
      </c>
      <c r="F4" s="4">
        <f t="shared" ref="F4:F10" si="1">C4-D4-E4</f>
        <v>0</v>
      </c>
      <c r="G4" s="4">
        <f t="shared" ref="G4:G10" si="2">H4-C4</f>
        <v>95</v>
      </c>
      <c r="H4" s="4">
        <v>120</v>
      </c>
      <c r="I4" s="4">
        <v>4</v>
      </c>
      <c r="J4" s="4" t="s">
        <v>14</v>
      </c>
      <c r="K4" s="73">
        <f t="shared" ref="K4:K67" si="3">SUMIF(A:A,A4,C:C)</f>
        <v>50</v>
      </c>
      <c r="L4" s="73">
        <f t="shared" ref="L4:L67" si="4">SUMIF(A:A,A4,D:D)</f>
        <v>30</v>
      </c>
      <c r="M4" s="74">
        <f t="shared" ref="M4:M67" si="5">SUMIF(A:A,A4,E:E)+SUMIF(A:A,A4,F:F)</f>
        <v>20</v>
      </c>
      <c r="N4" s="49" t="str">
        <f>IF(O4=""," ",VLOOKUP(O4,'[8]2012 личен състав ОТД'!$A:$AO,2,FALSE))</f>
        <v xml:space="preserve">   </v>
      </c>
      <c r="O4" s="48">
        <f>IF(A4=""," ",VLOOKUP(A4,'Български език и история'!A:O,15,FALSE))</f>
        <v>0</v>
      </c>
      <c r="P4" s="49">
        <f>IF(O4=""," ",VLOOKUP(O4,'[8]2012 личен състав ОТД'!$A:$AO,13,FALSE))</f>
        <v>0</v>
      </c>
      <c r="Q4" s="49">
        <f>IF(O4=""," ",VLOOKUP(O4,'[8]2012 личен състав ОТД'!$A:$AO,12,FALSE))</f>
        <v>0</v>
      </c>
      <c r="R4" s="49" t="str">
        <f>IF(A4=""," ",VLOOKUP(A4,'Профилиращ лист'!A:B,2,FALSE))</f>
        <v>ОФД</v>
      </c>
      <c r="S4" s="3"/>
      <c r="T4" s="3">
        <f t="shared" ca="1" si="0"/>
        <v>2013</v>
      </c>
      <c r="V4" s="49">
        <f>COUNTIF(N:N,"проф.*")</f>
        <v>12</v>
      </c>
      <c r="W4" s="49">
        <f>COUNTIF(N:N,"доц.*")</f>
        <v>16</v>
      </c>
      <c r="X4" s="49">
        <f>COUNTIF(N:N,"*ас. д-р*")</f>
        <v>8</v>
      </c>
      <c r="Y4" s="49">
        <f>COUNTIF(N:N,"гл. ас.*")-X4</f>
        <v>0</v>
      </c>
      <c r="Z4" s="49">
        <f>COUNTIF(N:N,"ас.*")</f>
        <v>0</v>
      </c>
      <c r="AA4" s="49">
        <f>SUM(V4:Z4)</f>
        <v>36</v>
      </c>
    </row>
    <row r="5" spans="1:31" ht="18" hidden="1" customHeight="1" x14ac:dyDescent="0.25">
      <c r="A5" s="8" t="s">
        <v>116</v>
      </c>
      <c r="B5" s="4">
        <v>90</v>
      </c>
      <c r="C5" s="4">
        <f>'Български език и руски език'!C5/2</f>
        <v>45</v>
      </c>
      <c r="D5" s="4">
        <f>'Български език и руски език'!D5/2</f>
        <v>0</v>
      </c>
      <c r="E5" s="4">
        <f>'Български език и руски език'!E5</f>
        <v>0</v>
      </c>
      <c r="F5" s="4">
        <f t="shared" si="1"/>
        <v>45</v>
      </c>
      <c r="G5" s="4">
        <f t="shared" si="2"/>
        <v>165</v>
      </c>
      <c r="H5" s="4">
        <v>210</v>
      </c>
      <c r="I5" s="4">
        <v>7</v>
      </c>
      <c r="J5" s="4" t="s">
        <v>14</v>
      </c>
      <c r="K5" s="73">
        <f t="shared" si="3"/>
        <v>330</v>
      </c>
      <c r="L5" s="73">
        <f t="shared" si="4"/>
        <v>0</v>
      </c>
      <c r="M5" s="74">
        <f t="shared" si="5"/>
        <v>330</v>
      </c>
      <c r="N5" s="49" t="e">
        <f>IF(O5=""," ",VLOOKUP(O5,'[8]2012 личен състав ОТД'!$A:$AO,2,FALSE))</f>
        <v>#N/A</v>
      </c>
      <c r="O5" s="48" t="e">
        <f>IF(A5=""," ",VLOOKUP(A5,'Български език и история'!A:O,15,FALSE))</f>
        <v>#N/A</v>
      </c>
      <c r="P5" s="49" t="e">
        <f>IF(O5=""," ",VLOOKUP(O5,'[8]2012 личен състав ОТД'!$A:$AO,13,FALSE))</f>
        <v>#N/A</v>
      </c>
      <c r="Q5" s="49" t="e">
        <f>IF(O5=""," ",VLOOKUP(O5,'[8]2012 личен състав ОТД'!$A:$AO,12,FALSE))</f>
        <v>#N/A</v>
      </c>
      <c r="R5" s="49" t="str">
        <f>IF(A5=""," ",VLOOKUP(A5,'Профилиращ лист'!A:B,2,FALSE))</f>
        <v>ПРА</v>
      </c>
      <c r="S5" s="3"/>
      <c r="T5" s="3" t="e">
        <f t="shared" ca="1" si="0"/>
        <v>#N/A</v>
      </c>
    </row>
    <row r="6" spans="1:31" x14ac:dyDescent="0.25">
      <c r="A6" s="67" t="s">
        <v>117</v>
      </c>
      <c r="B6" s="4">
        <v>15</v>
      </c>
      <c r="C6" s="4">
        <f>'Български език и руски език'!C6/2</f>
        <v>15</v>
      </c>
      <c r="D6" s="4">
        <v>15</v>
      </c>
      <c r="E6" s="4">
        <f>'Български език и руски език'!E6</f>
        <v>0</v>
      </c>
      <c r="F6" s="4">
        <v>0</v>
      </c>
      <c r="G6" s="4">
        <f t="shared" si="2"/>
        <v>75</v>
      </c>
      <c r="H6" s="4">
        <v>90</v>
      </c>
      <c r="I6" s="4">
        <v>3</v>
      </c>
      <c r="J6" s="4" t="s">
        <v>12</v>
      </c>
      <c r="K6" s="73">
        <f t="shared" si="3"/>
        <v>15</v>
      </c>
      <c r="L6" s="73">
        <f t="shared" si="4"/>
        <v>15</v>
      </c>
      <c r="M6" s="74">
        <f t="shared" si="5"/>
        <v>0</v>
      </c>
      <c r="N6" s="49" t="str">
        <f>IF(O6=""," ",VLOOKUP(O6,'[8]2012 личен състав ОТД'!$A:$AO,2,FALSE))</f>
        <v>гл. ас. д-р Надя Чернева</v>
      </c>
      <c r="O6" s="48" t="s">
        <v>501</v>
      </c>
      <c r="P6" s="49">
        <f>IF(O6=""," ",VLOOKUP(O6,'[8]2012 личен състав ОТД'!$A:$AO,13,FALSE))</f>
        <v>1961</v>
      </c>
      <c r="Q6" s="49" t="str">
        <f>IF(O6=""," ",VLOOKUP(O6,'[8]2012 личен състав ОТД'!$A:$AO,12,FALSE))</f>
        <v>ОТД</v>
      </c>
      <c r="R6" s="49" t="s">
        <v>255</v>
      </c>
      <c r="S6" s="3"/>
      <c r="T6" s="3">
        <f t="shared" ca="1" si="0"/>
        <v>52</v>
      </c>
    </row>
    <row r="7" spans="1:31" ht="18" hidden="1" customHeight="1" x14ac:dyDescent="0.25">
      <c r="A7" s="8" t="s">
        <v>21</v>
      </c>
      <c r="B7" s="4">
        <v>15</v>
      </c>
      <c r="C7" s="4">
        <f>'Български език и руски език'!C7/2</f>
        <v>15</v>
      </c>
      <c r="D7" s="4">
        <f>'Български език и руски език'!D7/2</f>
        <v>0</v>
      </c>
      <c r="E7" s="4">
        <f>'Български език и руски език'!E7</f>
        <v>0</v>
      </c>
      <c r="F7" s="4">
        <f t="shared" si="1"/>
        <v>15</v>
      </c>
      <c r="G7" s="4">
        <f t="shared" si="2"/>
        <v>45</v>
      </c>
      <c r="H7" s="4">
        <v>60</v>
      </c>
      <c r="I7" s="4">
        <v>2</v>
      </c>
      <c r="J7" s="4" t="s">
        <v>18</v>
      </c>
      <c r="K7" s="73">
        <f t="shared" si="3"/>
        <v>15</v>
      </c>
      <c r="L7" s="73">
        <f t="shared" si="4"/>
        <v>0</v>
      </c>
      <c r="M7" s="74">
        <f t="shared" si="5"/>
        <v>15</v>
      </c>
      <c r="N7" s="49" t="str">
        <f>IF(O7=""," ",VLOOKUP(O7,'[8]2012 личен състав ОТД'!$A:$AO,2,FALSE))</f>
        <v xml:space="preserve">   </v>
      </c>
      <c r="O7" s="48">
        <f>IF(A7=""," ",VLOOKUP(A7,'Български език и история'!A:O,15,FALSE))</f>
        <v>0</v>
      </c>
      <c r="P7" s="49">
        <f>IF(O7=""," ",VLOOKUP(O7,'[8]2012 личен състав ОТД'!$A:$AO,13,FALSE))</f>
        <v>0</v>
      </c>
      <c r="Q7" s="49">
        <f>IF(O7=""," ",VLOOKUP(O7,'[8]2012 личен състав ОТД'!$A:$AO,12,FALSE))</f>
        <v>0</v>
      </c>
      <c r="R7" s="49" t="str">
        <f>IF(A7=""," ",VLOOKUP(A7,'Профилиращ лист'!A:B,2,FALSE))</f>
        <v>ФД</v>
      </c>
      <c r="S7" s="3"/>
      <c r="T7" s="3">
        <f t="shared" ca="1" si="0"/>
        <v>2013</v>
      </c>
    </row>
    <row r="8" spans="1:31" ht="18" hidden="1" customHeight="1" x14ac:dyDescent="0.25">
      <c r="A8" s="8" t="s">
        <v>28</v>
      </c>
      <c r="B8" s="4">
        <v>15</v>
      </c>
      <c r="C8" s="4">
        <v>10</v>
      </c>
      <c r="D8" s="4">
        <f>'Български език и руски език'!D8/2</f>
        <v>0</v>
      </c>
      <c r="E8" s="4">
        <f>'Български език и руски език'!E8</f>
        <v>0</v>
      </c>
      <c r="F8" s="4">
        <f t="shared" si="1"/>
        <v>10</v>
      </c>
      <c r="G8" s="4">
        <f t="shared" si="2"/>
        <v>50</v>
      </c>
      <c r="H8" s="4">
        <v>60</v>
      </c>
      <c r="I8" s="4">
        <v>2</v>
      </c>
      <c r="J8" s="4" t="s">
        <v>18</v>
      </c>
      <c r="K8" s="73">
        <f t="shared" si="3"/>
        <v>10</v>
      </c>
      <c r="L8" s="73">
        <f t="shared" si="4"/>
        <v>0</v>
      </c>
      <c r="M8" s="74">
        <f t="shared" si="5"/>
        <v>10</v>
      </c>
      <c r="N8" s="49" t="str">
        <f>IF(O8=""," ",VLOOKUP(O8,'[8]2012 личен състав ОТД'!$A:$AO,2,FALSE))</f>
        <v xml:space="preserve">   </v>
      </c>
      <c r="O8" s="48">
        <f>IF(A8=""," ",VLOOKUP(A8,'Български език и история'!A:O,15,FALSE))</f>
        <v>0</v>
      </c>
      <c r="P8" s="49">
        <f>IF(O8=""," ",VLOOKUP(O8,'[8]2012 личен състав ОТД'!$A:$AO,13,FALSE))</f>
        <v>0</v>
      </c>
      <c r="Q8" s="49">
        <f>IF(O8=""," ",VLOOKUP(O8,'[8]2012 личен състав ОТД'!$A:$AO,12,FALSE))</f>
        <v>0</v>
      </c>
      <c r="R8" s="49" t="str">
        <f>IF(A8=""," ",VLOOKUP(A8,'Профилиращ лист'!A:B,2,FALSE))</f>
        <v>ПЕД</v>
      </c>
      <c r="S8" s="3"/>
      <c r="T8" s="3">
        <f t="shared" ca="1" si="0"/>
        <v>2013</v>
      </c>
    </row>
    <row r="9" spans="1:31" x14ac:dyDescent="0.25">
      <c r="A9" s="67" t="s">
        <v>19</v>
      </c>
      <c r="B9" s="4">
        <v>45</v>
      </c>
      <c r="C9" s="4">
        <f>'Български език и руски език'!C9/2</f>
        <v>30</v>
      </c>
      <c r="D9" s="4">
        <v>25</v>
      </c>
      <c r="E9" s="4">
        <v>5</v>
      </c>
      <c r="F9" s="4">
        <f t="shared" si="1"/>
        <v>0</v>
      </c>
      <c r="G9" s="4">
        <f t="shared" si="2"/>
        <v>90</v>
      </c>
      <c r="H9" s="4">
        <v>120</v>
      </c>
      <c r="I9" s="4">
        <v>4</v>
      </c>
      <c r="J9" s="4" t="s">
        <v>12</v>
      </c>
      <c r="K9" s="73">
        <f t="shared" si="3"/>
        <v>30</v>
      </c>
      <c r="L9" s="73">
        <f t="shared" si="4"/>
        <v>25</v>
      </c>
      <c r="M9" s="74">
        <f t="shared" si="5"/>
        <v>5</v>
      </c>
      <c r="N9" s="49" t="str">
        <f>IF(O9=""," ",VLOOKUP(O9,'[8]2012 личен състав ОТД'!$A:$AO,2,FALSE))</f>
        <v>проф. д-р Запрян Козлуджов</v>
      </c>
      <c r="O9" s="48" t="str">
        <f>IF(A9=""," ",VLOOKUP(A9,'Български език и руски език'!A:O,15,FALSE))</f>
        <v>козлуджов</v>
      </c>
      <c r="P9" s="49">
        <f>IF(O9=""," ",VLOOKUP(O9,'[8]2012 личен състав ОТД'!$A:$AO,13,FALSE))</f>
        <v>1959</v>
      </c>
      <c r="Q9" s="49" t="str">
        <f>IF(O9=""," ",VLOOKUP(O9,'[8]2012 личен състав ОТД'!$A:$AO,12,FALSE))</f>
        <v>ОТД</v>
      </c>
      <c r="R9" s="49" t="s">
        <v>272</v>
      </c>
      <c r="S9" s="3"/>
      <c r="T9" s="3">
        <f t="shared" ca="1" si="0"/>
        <v>54</v>
      </c>
    </row>
    <row r="10" spans="1:31" x14ac:dyDescent="0.25">
      <c r="A10" s="67" t="s">
        <v>20</v>
      </c>
      <c r="B10" s="4">
        <v>45</v>
      </c>
      <c r="C10" s="4">
        <f>'Български език и руски език'!C10/2</f>
        <v>30</v>
      </c>
      <c r="D10" s="4">
        <v>20</v>
      </c>
      <c r="E10" s="4">
        <v>10</v>
      </c>
      <c r="F10" s="4">
        <f t="shared" si="1"/>
        <v>0</v>
      </c>
      <c r="G10" s="4">
        <f t="shared" si="2"/>
        <v>90</v>
      </c>
      <c r="H10" s="4">
        <v>120</v>
      </c>
      <c r="I10" s="4">
        <v>4</v>
      </c>
      <c r="J10" s="4" t="s">
        <v>12</v>
      </c>
      <c r="K10" s="73">
        <f t="shared" si="3"/>
        <v>30</v>
      </c>
      <c r="L10" s="73">
        <f t="shared" si="4"/>
        <v>20</v>
      </c>
      <c r="M10" s="74">
        <f t="shared" si="5"/>
        <v>10</v>
      </c>
      <c r="N10" s="49" t="str">
        <f>IF(O10=""," ",VLOOKUP(O10,'[8]2012 личен състав ОТД'!$A:$AO,2,FALSE))</f>
        <v>доц. д-р Иван Чобанов</v>
      </c>
      <c r="O10" s="48" t="str">
        <f>IF(A10=""," ",VLOOKUP(A10,'Български език и руски език'!A:O,15,FALSE))</f>
        <v>чобанов</v>
      </c>
      <c r="P10" s="49">
        <f>IF(O10=""," ",VLOOKUP(O10,'[8]2012 личен състав ОТД'!$A:$AO,13,FALSE))</f>
        <v>1949</v>
      </c>
      <c r="Q10" s="49" t="str">
        <f>IF(O10=""," ",VLOOKUP(O10,'[8]2012 личен състав ОТД'!$A:$AO,12,FALSE))</f>
        <v>ОТД</v>
      </c>
      <c r="R10" s="49" t="str">
        <f>IF(A10=""," ",VLOOKUP(A10,'Профилиращ лист'!A:B,2,FALSE))</f>
        <v>ОФД</v>
      </c>
      <c r="S10" s="3"/>
      <c r="T10" s="3">
        <f t="shared" ca="1" si="0"/>
        <v>64</v>
      </c>
    </row>
    <row r="11" spans="1:31" ht="18" hidden="1" customHeight="1" x14ac:dyDescent="0.25">
      <c r="A11" s="8"/>
      <c r="B11" s="9">
        <f t="shared" ref="B11:I11" si="6">SUM(B3:B10)</f>
        <v>300</v>
      </c>
      <c r="C11" s="9">
        <f t="shared" si="6"/>
        <v>185</v>
      </c>
      <c r="D11" s="9">
        <f t="shared" si="6"/>
        <v>90</v>
      </c>
      <c r="E11" s="9">
        <f t="shared" si="6"/>
        <v>25</v>
      </c>
      <c r="F11" s="9">
        <f t="shared" si="6"/>
        <v>70</v>
      </c>
      <c r="G11" s="9">
        <f t="shared" si="6"/>
        <v>715</v>
      </c>
      <c r="H11" s="9">
        <f t="shared" si="6"/>
        <v>900</v>
      </c>
      <c r="I11" s="9">
        <f t="shared" si="6"/>
        <v>30</v>
      </c>
      <c r="J11" s="6"/>
      <c r="K11" s="73">
        <f t="shared" si="3"/>
        <v>0</v>
      </c>
      <c r="L11" s="73">
        <f t="shared" si="4"/>
        <v>0</v>
      </c>
      <c r="M11" s="74">
        <f t="shared" si="5"/>
        <v>0</v>
      </c>
      <c r="N11" s="49" t="e">
        <f>IF(O11=""," ",VLOOKUP(O11,'[8]2012 личен състав ОТД'!$A:$AO,2,FALSE))</f>
        <v>#N/A</v>
      </c>
      <c r="O11" s="48" t="str">
        <f>IF(A11=""," ",VLOOKUP(A11,'Български език и история'!A:O,15,FALSE))</f>
        <v xml:space="preserve"> </v>
      </c>
      <c r="P11" s="49" t="e">
        <f>IF(O11=""," ",VLOOKUP(O11,'[8]2012 личен състав ОТД'!$A:$AO,13,FALSE))</f>
        <v>#N/A</v>
      </c>
      <c r="Q11" s="49" t="e">
        <f>IF(O11=""," ",VLOOKUP(O11,'[8]2012 личен състав ОТД'!$A:$AO,12,FALSE))</f>
        <v>#N/A</v>
      </c>
      <c r="R11" s="49" t="str">
        <f>IF(A11=""," ",VLOOKUP(A11,'Профилиращ лист'!A:B,2,FALSE))</f>
        <v xml:space="preserve"> </v>
      </c>
      <c r="S11" s="3"/>
      <c r="T11" s="3" t="e">
        <f t="shared" ca="1" si="0"/>
        <v>#N/A</v>
      </c>
    </row>
    <row r="12" spans="1:31" ht="18" hidden="1" customHeight="1" x14ac:dyDescent="0.25">
      <c r="A12" s="1" t="s">
        <v>22</v>
      </c>
      <c r="B12" s="1"/>
      <c r="C12" s="4"/>
      <c r="D12" s="4"/>
      <c r="E12" s="4"/>
      <c r="F12" s="4"/>
      <c r="G12" s="4"/>
      <c r="H12" s="4"/>
      <c r="I12" s="5"/>
      <c r="J12" s="6"/>
      <c r="K12" s="73">
        <f t="shared" si="3"/>
        <v>0</v>
      </c>
      <c r="L12" s="73">
        <f t="shared" si="4"/>
        <v>0</v>
      </c>
      <c r="M12" s="74">
        <f t="shared" si="5"/>
        <v>0</v>
      </c>
      <c r="N12" s="49" t="str">
        <f>IF(O12=""," ",VLOOKUP(O12,'[8]2012 личен състав ОТД'!$A:$AO,2,FALSE))</f>
        <v xml:space="preserve">   </v>
      </c>
      <c r="O12" s="48">
        <f>IF(A12=""," ",VLOOKUP(A12,'Български език и история'!A:O,15,FALSE))</f>
        <v>0</v>
      </c>
      <c r="P12" s="49">
        <f>IF(O12=""," ",VLOOKUP(O12,'[8]2012 личен състав ОТД'!$A:$AO,13,FALSE))</f>
        <v>0</v>
      </c>
      <c r="Q12" s="49">
        <f>IF(O12=""," ",VLOOKUP(O12,'[8]2012 личен състав ОТД'!$A:$AO,12,FALSE))</f>
        <v>0</v>
      </c>
      <c r="R12" s="49" t="e">
        <f>IF(A12=""," ",VLOOKUP(A12,'Профилиращ лист'!A:B,2,FALSE))</f>
        <v>#N/A</v>
      </c>
      <c r="S12" s="3"/>
      <c r="T12" s="3">
        <f t="shared" ca="1" si="0"/>
        <v>2013</v>
      </c>
    </row>
    <row r="13" spans="1:31" x14ac:dyDescent="0.25">
      <c r="A13" s="67" t="s">
        <v>118</v>
      </c>
      <c r="B13" s="4">
        <v>15</v>
      </c>
      <c r="C13" s="4">
        <f>'Български език и руски език'!C13/2</f>
        <v>15</v>
      </c>
      <c r="D13" s="4">
        <f>'Български език и руски език'!D13/2</f>
        <v>15</v>
      </c>
      <c r="E13" s="4">
        <f>'Български език и руски език'!E13</f>
        <v>0</v>
      </c>
      <c r="F13" s="4">
        <f>C13-D13-E13</f>
        <v>0</v>
      </c>
      <c r="G13" s="4">
        <f>H13-C13</f>
        <v>75</v>
      </c>
      <c r="H13" s="4">
        <v>90</v>
      </c>
      <c r="I13" s="4">
        <v>3</v>
      </c>
      <c r="J13" s="4" t="s">
        <v>12</v>
      </c>
      <c r="K13" s="73">
        <f t="shared" si="3"/>
        <v>15</v>
      </c>
      <c r="L13" s="73">
        <f t="shared" si="4"/>
        <v>15</v>
      </c>
      <c r="M13" s="74">
        <f t="shared" si="5"/>
        <v>0</v>
      </c>
      <c r="N13" s="49" t="str">
        <f>IF(O13=""," ",VLOOKUP(O13,'[8]2012 личен състав ОТД'!$A:$AO,2,FALSE))</f>
        <v>гл. ас. д-р Майя Кузова</v>
      </c>
      <c r="O13" s="48" t="str">
        <f>IF(A13=""," ",VLOOKUP(A13,'Български език и руски език'!A:O,15,FALSE))</f>
        <v>кузова</v>
      </c>
      <c r="P13" s="49">
        <f>IF(O13=""," ",VLOOKUP(O13,'[8]2012 личен състав ОТД'!$A:$AO,13,FALSE))</f>
        <v>1961</v>
      </c>
      <c r="Q13" s="49" t="str">
        <f>IF(O13=""," ",VLOOKUP(O13,'[8]2012 личен състав ОТД'!$A:$AO,12,FALSE))</f>
        <v>ОТД</v>
      </c>
      <c r="R13" s="49" t="s">
        <v>272</v>
      </c>
      <c r="S13" s="3"/>
      <c r="T13" s="3">
        <f t="shared" ca="1" si="0"/>
        <v>52</v>
      </c>
    </row>
    <row r="14" spans="1:31" ht="18" hidden="1" customHeight="1" x14ac:dyDescent="0.25">
      <c r="A14" s="8" t="s">
        <v>27</v>
      </c>
      <c r="B14" s="4">
        <v>15</v>
      </c>
      <c r="C14" s="4">
        <f>'Български език и руски език'!C14/2</f>
        <v>15</v>
      </c>
      <c r="D14" s="4">
        <f>'Български език и руски език'!D14/2</f>
        <v>0</v>
      </c>
      <c r="E14" s="4">
        <f>'Български език и руски език'!E14</f>
        <v>0</v>
      </c>
      <c r="F14" s="4">
        <f t="shared" ref="F14:F20" si="7">C14-D14-E14</f>
        <v>15</v>
      </c>
      <c r="G14" s="4">
        <f t="shared" ref="G14:G20" si="8">H14-C14</f>
        <v>45</v>
      </c>
      <c r="H14" s="4">
        <v>60</v>
      </c>
      <c r="I14" s="4">
        <v>2</v>
      </c>
      <c r="J14" s="4" t="s">
        <v>18</v>
      </c>
      <c r="K14" s="73">
        <f t="shared" si="3"/>
        <v>15</v>
      </c>
      <c r="L14" s="73">
        <f t="shared" si="4"/>
        <v>0</v>
      </c>
      <c r="M14" s="74">
        <f t="shared" si="5"/>
        <v>15</v>
      </c>
      <c r="N14" s="49" t="str">
        <f>IF(O14=""," ",VLOOKUP(O14,'[8]2012 личен състав ОТД'!$A:$AO,2,FALSE))</f>
        <v xml:space="preserve">   </v>
      </c>
      <c r="O14" s="48">
        <f>IF(A14=""," ",VLOOKUP(A14,'Български език и история'!A:O,15,FALSE))</f>
        <v>0</v>
      </c>
      <c r="P14" s="49">
        <f>IF(O14=""," ",VLOOKUP(O14,'[8]2012 личен състав ОТД'!$A:$AO,13,FALSE))</f>
        <v>0</v>
      </c>
      <c r="Q14" s="49">
        <f>IF(O14=""," ",VLOOKUP(O14,'[8]2012 личен състав ОТД'!$A:$AO,12,FALSE))</f>
        <v>0</v>
      </c>
      <c r="R14" s="49" t="str">
        <f>IF(A14=""," ",VLOOKUP(A14,'Профилиращ лист'!A:B,2,FALSE))</f>
        <v>ФД</v>
      </c>
      <c r="S14" s="3"/>
      <c r="T14" s="3">
        <f t="shared" ca="1" si="0"/>
        <v>2013</v>
      </c>
    </row>
    <row r="15" spans="1:31" x14ac:dyDescent="0.25">
      <c r="A15" s="67" t="s">
        <v>23</v>
      </c>
      <c r="B15" s="4">
        <v>45</v>
      </c>
      <c r="C15" s="4">
        <f>'Български език и руски език'!C15/2</f>
        <v>30</v>
      </c>
      <c r="D15" s="4">
        <f>'Български език и руски език'!D15/2</f>
        <v>22.5</v>
      </c>
      <c r="E15" s="4">
        <f>'Български език и руски език'!E15</f>
        <v>15</v>
      </c>
      <c r="F15" s="4">
        <f t="shared" si="7"/>
        <v>-7.5</v>
      </c>
      <c r="G15" s="4">
        <f t="shared" si="8"/>
        <v>120</v>
      </c>
      <c r="H15" s="4">
        <v>150</v>
      </c>
      <c r="I15" s="4">
        <v>5</v>
      </c>
      <c r="J15" s="4" t="s">
        <v>12</v>
      </c>
      <c r="K15" s="73">
        <f t="shared" si="3"/>
        <v>30</v>
      </c>
      <c r="L15" s="73">
        <f t="shared" si="4"/>
        <v>22.5</v>
      </c>
      <c r="M15" s="74">
        <f t="shared" si="5"/>
        <v>7.5</v>
      </c>
      <c r="N15" s="49" t="str">
        <f>IF(O15=""," ",VLOOKUP(O15,'[8]2012 личен състав ОТД'!$A:$AO,2,FALSE))</f>
        <v>проф. д-р Пеньо Пенев</v>
      </c>
      <c r="O15" s="48" t="str">
        <f>IF(A15=""," ",VLOOKUP(A15,'Български език и руски език'!A:O,15,FALSE))</f>
        <v>пенев</v>
      </c>
      <c r="P15" s="49">
        <f>IF(O15=""," ",VLOOKUP(O15,'[8]2012 личен състав ОТД'!$A:$AO,13,FALSE))</f>
        <v>1946</v>
      </c>
      <c r="Q15" s="49" t="str">
        <f>IF(O15=""," ",VLOOKUP(O15,'[8]2012 личен състав ОТД'!$A:$AO,12,FALSE))</f>
        <v>ОТД</v>
      </c>
      <c r="R15" s="49" t="str">
        <f>IF(A15=""," ",VLOOKUP(A15,'Профилиращ лист'!A:B,2,FALSE))</f>
        <v>СПЕ</v>
      </c>
      <c r="S15" s="3" t="s">
        <v>5</v>
      </c>
      <c r="T15" s="3">
        <f t="shared" ca="1" si="0"/>
        <v>67</v>
      </c>
    </row>
    <row r="16" spans="1:31" x14ac:dyDescent="0.25">
      <c r="A16" s="67" t="s">
        <v>13</v>
      </c>
      <c r="B16" s="4">
        <v>30</v>
      </c>
      <c r="C16" s="4">
        <v>25</v>
      </c>
      <c r="D16" s="4">
        <v>15</v>
      </c>
      <c r="E16" s="4">
        <v>10</v>
      </c>
      <c r="F16" s="4">
        <f t="shared" si="7"/>
        <v>0</v>
      </c>
      <c r="G16" s="4">
        <f t="shared" si="8"/>
        <v>95</v>
      </c>
      <c r="H16" s="4">
        <v>120</v>
      </c>
      <c r="I16" s="4">
        <v>4</v>
      </c>
      <c r="J16" s="4" t="s">
        <v>12</v>
      </c>
      <c r="K16" s="73">
        <f t="shared" si="3"/>
        <v>50</v>
      </c>
      <c r="L16" s="73">
        <f t="shared" si="4"/>
        <v>30</v>
      </c>
      <c r="M16" s="74">
        <f t="shared" si="5"/>
        <v>20</v>
      </c>
      <c r="N16" s="49" t="str">
        <f>IF(O16=""," ",VLOOKUP(O16,'[8]2012 личен състав ОТД'!$A:$AO,2,FALSE))</f>
        <v>доц. д-р Христина Тончева</v>
      </c>
      <c r="O16" s="48" t="s">
        <v>461</v>
      </c>
      <c r="P16" s="49">
        <f>IF(O16=""," ",VLOOKUP(O16,'[8]2012 личен състав ОТД'!$A:$AO,13,FALSE))</f>
        <v>1968</v>
      </c>
      <c r="Q16" s="49" t="str">
        <f>IF(O16=""," ",VLOOKUP(O16,'[8]2012 личен състав ОТД'!$A:$AO,12,FALSE))</f>
        <v>ОТД</v>
      </c>
      <c r="R16" s="49" t="str">
        <f>IF(A16=""," ",VLOOKUP(A16,'Профилиращ лист'!A:B,2,FALSE))</f>
        <v>ОФД</v>
      </c>
      <c r="S16" s="3"/>
      <c r="T16" s="3">
        <f t="shared" ca="1" si="0"/>
        <v>45</v>
      </c>
    </row>
    <row r="17" spans="1:20" x14ac:dyDescent="0.25">
      <c r="A17" s="67" t="s">
        <v>164</v>
      </c>
      <c r="B17" s="4">
        <v>30</v>
      </c>
      <c r="C17" s="4">
        <f>'Български език и руски език'!C17/2</f>
        <v>15</v>
      </c>
      <c r="D17" s="4">
        <f>'Български език и руски език'!D17/2</f>
        <v>15</v>
      </c>
      <c r="E17" s="4">
        <f>'Български език и руски език'!E17</f>
        <v>0</v>
      </c>
      <c r="F17" s="4">
        <f t="shared" si="7"/>
        <v>0</v>
      </c>
      <c r="G17" s="4">
        <f t="shared" si="8"/>
        <v>75</v>
      </c>
      <c r="H17" s="4">
        <v>90</v>
      </c>
      <c r="I17" s="4">
        <v>3</v>
      </c>
      <c r="J17" s="4" t="s">
        <v>12</v>
      </c>
      <c r="K17" s="73">
        <f t="shared" si="3"/>
        <v>15</v>
      </c>
      <c r="L17" s="73">
        <f t="shared" si="4"/>
        <v>15</v>
      </c>
      <c r="M17" s="74">
        <f t="shared" si="5"/>
        <v>0</v>
      </c>
      <c r="N17" s="49" t="str">
        <f>IF(O17=""," ",VLOOKUP(O17,'[8]2012 личен състав ОТД'!$A:$AO,2,FALSE))</f>
        <v>доц. д-р Станка Козарова</v>
      </c>
      <c r="O17" s="48" t="s">
        <v>462</v>
      </c>
      <c r="P17" s="49">
        <f>IF(O17=""," ",VLOOKUP(O17,'[8]2012 личен състав ОТД'!$A:$AO,13,FALSE))</f>
        <v>1959</v>
      </c>
      <c r="Q17" s="49" t="str">
        <f>IF(O17=""," ",VLOOKUP(O17,'[8]2012 личен състав ОТД'!$A:$AO,12,FALSE))</f>
        <v>ОТД</v>
      </c>
      <c r="R17" s="49" t="s">
        <v>265</v>
      </c>
      <c r="S17" s="3"/>
      <c r="T17" s="3">
        <f t="shared" ca="1" si="0"/>
        <v>54</v>
      </c>
    </row>
    <row r="18" spans="1:20" ht="18" hidden="1" customHeight="1" x14ac:dyDescent="0.25">
      <c r="A18" s="8" t="s">
        <v>116</v>
      </c>
      <c r="B18" s="4">
        <v>90</v>
      </c>
      <c r="C18" s="4">
        <v>55</v>
      </c>
      <c r="D18" s="4">
        <f>'Български език и руски език'!D18/2</f>
        <v>0</v>
      </c>
      <c r="E18" s="4">
        <f>'Български език и руски език'!E18</f>
        <v>0</v>
      </c>
      <c r="F18" s="4">
        <f t="shared" si="7"/>
        <v>55</v>
      </c>
      <c r="G18" s="4">
        <f t="shared" si="8"/>
        <v>155</v>
      </c>
      <c r="H18" s="4">
        <v>210</v>
      </c>
      <c r="I18" s="4">
        <v>7</v>
      </c>
      <c r="J18" s="4" t="s">
        <v>12</v>
      </c>
      <c r="K18" s="73">
        <f t="shared" si="3"/>
        <v>330</v>
      </c>
      <c r="L18" s="73">
        <f t="shared" si="4"/>
        <v>0</v>
      </c>
      <c r="M18" s="74">
        <f t="shared" si="5"/>
        <v>330</v>
      </c>
      <c r="N18" s="49" t="e">
        <f>IF(O18=""," ",VLOOKUP(O18,'[8]2012 личен състав ОТД'!$A:$AO,2,FALSE))</f>
        <v>#N/A</v>
      </c>
      <c r="O18" s="48" t="e">
        <f>IF(A18=""," ",VLOOKUP(A18,'Български език и история'!A:O,15,FALSE))</f>
        <v>#N/A</v>
      </c>
      <c r="P18" s="49" t="e">
        <f>IF(O18=""," ",VLOOKUP(O18,'[8]2012 личен състав ОТД'!$A:$AO,13,FALSE))</f>
        <v>#N/A</v>
      </c>
      <c r="Q18" s="49" t="e">
        <f>IF(O18=""," ",VLOOKUP(O18,'[8]2012 личен състав ОТД'!$A:$AO,12,FALSE))</f>
        <v>#N/A</v>
      </c>
      <c r="R18" s="49" t="str">
        <f>IF(A18=""," ",VLOOKUP(A18,'Профилиращ лист'!A:B,2,FALSE))</f>
        <v>ПРА</v>
      </c>
      <c r="S18" s="3"/>
      <c r="T18" s="3" t="e">
        <f t="shared" ca="1" si="0"/>
        <v>#N/A</v>
      </c>
    </row>
    <row r="19" spans="1:20" x14ac:dyDescent="0.25">
      <c r="A19" s="67" t="s">
        <v>26</v>
      </c>
      <c r="B19" s="4">
        <v>30</v>
      </c>
      <c r="C19" s="4">
        <v>25</v>
      </c>
      <c r="D19" s="4">
        <v>20</v>
      </c>
      <c r="E19" s="4">
        <v>5</v>
      </c>
      <c r="F19" s="4">
        <f t="shared" si="7"/>
        <v>0</v>
      </c>
      <c r="G19" s="4">
        <f t="shared" si="8"/>
        <v>65</v>
      </c>
      <c r="H19" s="4">
        <v>90</v>
      </c>
      <c r="I19" s="4">
        <v>3</v>
      </c>
      <c r="J19" s="4" t="s">
        <v>12</v>
      </c>
      <c r="K19" s="73">
        <f t="shared" si="3"/>
        <v>25</v>
      </c>
      <c r="L19" s="73">
        <f t="shared" si="4"/>
        <v>20</v>
      </c>
      <c r="M19" s="74">
        <f t="shared" si="5"/>
        <v>5</v>
      </c>
      <c r="N19" s="49" t="str">
        <f>IF(O19=""," ",VLOOKUP(O19,'[8]2012 личен състав ОТД'!$A:$AO,2,FALSE))</f>
        <v>доц. д-р Ваня Зидарова</v>
      </c>
      <c r="O19" s="48" t="str">
        <f>IF(A19=""," ",VLOOKUP(A19,'Български език и руски език'!A:O,15,FALSE))</f>
        <v>зидарова</v>
      </c>
      <c r="P19" s="49">
        <f>IF(O19=""," ",VLOOKUP(O19,'[8]2012 личен състав ОТД'!$A:$AO,13,FALSE))</f>
        <v>1959</v>
      </c>
      <c r="Q19" s="49" t="str">
        <f>IF(O19=""," ",VLOOKUP(O19,'[8]2012 личен състав ОТД'!$A:$AO,12,FALSE))</f>
        <v>ОТД</v>
      </c>
      <c r="R19" s="49" t="str">
        <f>IF(A19=""," ",VLOOKUP(A19,'Профилиращ лист'!A:B,2,FALSE))</f>
        <v>ОФД</v>
      </c>
      <c r="S19" s="3"/>
      <c r="T19" s="3">
        <f t="shared" ca="1" si="0"/>
        <v>54</v>
      </c>
    </row>
    <row r="20" spans="1:20" x14ac:dyDescent="0.25">
      <c r="A20" s="67" t="s">
        <v>120</v>
      </c>
      <c r="B20" s="4">
        <v>30</v>
      </c>
      <c r="C20" s="4">
        <v>25</v>
      </c>
      <c r="D20" s="4">
        <f>'Български език и руски език'!D20/2</f>
        <v>15</v>
      </c>
      <c r="E20" s="4">
        <v>10</v>
      </c>
      <c r="F20" s="4">
        <f t="shared" si="7"/>
        <v>0</v>
      </c>
      <c r="G20" s="4">
        <f t="shared" si="8"/>
        <v>65</v>
      </c>
      <c r="H20" s="4">
        <v>90</v>
      </c>
      <c r="I20" s="4">
        <v>3</v>
      </c>
      <c r="J20" s="4" t="s">
        <v>12</v>
      </c>
      <c r="K20" s="73">
        <f t="shared" si="3"/>
        <v>25</v>
      </c>
      <c r="L20" s="73">
        <f t="shared" si="4"/>
        <v>15</v>
      </c>
      <c r="M20" s="74">
        <f t="shared" si="5"/>
        <v>10</v>
      </c>
      <c r="N20" s="49" t="str">
        <f>IF(O20=""," ",VLOOKUP(O20,'[8]2012 личен състав ОТД'!$A:$AO,2,FALSE))</f>
        <v>проф. д-р Стефка Георгиева</v>
      </c>
      <c r="O20" s="48" t="str">
        <f>IF(A20=""," ",VLOOKUP(A20,'Български език и руски език'!A:O,15,FALSE))</f>
        <v>георгиева</v>
      </c>
      <c r="P20" s="49">
        <f>IF(O20=""," ",VLOOKUP(O20,'[8]2012 личен състав ОТД'!$A:$AO,13,FALSE))</f>
        <v>1945</v>
      </c>
      <c r="Q20" s="49" t="str">
        <f>IF(O20=""," ",VLOOKUP(O20,'[8]2012 личен състав ОТД'!$A:$AO,12,FALSE))</f>
        <v>ОТД</v>
      </c>
      <c r="R20" s="49" t="str">
        <f>IF(A20=""," ",VLOOKUP(A20,'Профилиращ лист'!A:B,2,FALSE))</f>
        <v>СПЕ</v>
      </c>
      <c r="S20" s="3" t="s">
        <v>5</v>
      </c>
      <c r="T20" s="3">
        <f t="shared" ca="1" si="0"/>
        <v>68</v>
      </c>
    </row>
    <row r="21" spans="1:20" ht="18" hidden="1" customHeight="1" x14ac:dyDescent="0.25">
      <c r="A21" s="8"/>
      <c r="B21" s="9">
        <f t="shared" ref="B21:I21" si="9">SUM(B13:B20)</f>
        <v>285</v>
      </c>
      <c r="C21" s="9">
        <f t="shared" si="9"/>
        <v>205</v>
      </c>
      <c r="D21" s="9">
        <f t="shared" si="9"/>
        <v>102.5</v>
      </c>
      <c r="E21" s="9">
        <f t="shared" si="9"/>
        <v>40</v>
      </c>
      <c r="F21" s="9">
        <f t="shared" si="9"/>
        <v>62.5</v>
      </c>
      <c r="G21" s="9">
        <f t="shared" si="9"/>
        <v>695</v>
      </c>
      <c r="H21" s="9">
        <f t="shared" si="9"/>
        <v>900</v>
      </c>
      <c r="I21" s="9">
        <f t="shared" si="9"/>
        <v>30</v>
      </c>
      <c r="J21" s="6"/>
      <c r="K21" s="73">
        <f t="shared" si="3"/>
        <v>0</v>
      </c>
      <c r="L21" s="73">
        <f t="shared" si="4"/>
        <v>0</v>
      </c>
      <c r="M21" s="74">
        <f t="shared" si="5"/>
        <v>0</v>
      </c>
      <c r="N21" s="49" t="e">
        <f>IF(O21=""," ",VLOOKUP(O21,'[8]2012 личен състав ОТД'!$A:$AO,2,FALSE))</f>
        <v>#N/A</v>
      </c>
      <c r="O21" s="48" t="str">
        <f>IF(A21=""," ",VLOOKUP(A21,'Български език и история'!A:O,15,FALSE))</f>
        <v xml:space="preserve"> </v>
      </c>
      <c r="P21" s="49" t="e">
        <f>IF(O21=""," ",VLOOKUP(O21,'[8]2012 личен състав ОТД'!$A:$AO,13,FALSE))</f>
        <v>#N/A</v>
      </c>
      <c r="Q21" s="49" t="e">
        <f>IF(O21=""," ",VLOOKUP(O21,'[8]2012 личен състав ОТД'!$A:$AO,12,FALSE))</f>
        <v>#N/A</v>
      </c>
      <c r="R21" s="49" t="str">
        <f>IF(A21=""," ",VLOOKUP(A21,'Профилиращ лист'!A:B,2,FALSE))</f>
        <v xml:space="preserve"> </v>
      </c>
      <c r="S21" s="3"/>
      <c r="T21" s="3" t="e">
        <f t="shared" ca="1" si="0"/>
        <v>#N/A</v>
      </c>
    </row>
    <row r="22" spans="1:20" ht="18" hidden="1" customHeight="1" x14ac:dyDescent="0.25">
      <c r="A22" s="1" t="s">
        <v>30</v>
      </c>
      <c r="B22" s="1"/>
      <c r="C22" s="4"/>
      <c r="D22" s="4"/>
      <c r="E22" s="4"/>
      <c r="F22" s="4"/>
      <c r="G22" s="4"/>
      <c r="H22" s="4"/>
      <c r="I22" s="5"/>
      <c r="J22" s="6"/>
      <c r="K22" s="73">
        <f t="shared" si="3"/>
        <v>0</v>
      </c>
      <c r="L22" s="73">
        <f t="shared" si="4"/>
        <v>0</v>
      </c>
      <c r="M22" s="74">
        <f t="shared" si="5"/>
        <v>0</v>
      </c>
      <c r="N22" s="49" t="str">
        <f>IF(O22=""," ",VLOOKUP(O22,'[8]2012 личен състав ОТД'!$A:$AO,2,FALSE))</f>
        <v xml:space="preserve">   </v>
      </c>
      <c r="O22" s="48">
        <f>IF(A22=""," ",VLOOKUP(A22,'Български език и история'!A:O,15,FALSE))</f>
        <v>0</v>
      </c>
      <c r="P22" s="49">
        <f>IF(O22=""," ",VLOOKUP(O22,'[8]2012 личен състав ОТД'!$A:$AO,13,FALSE))</f>
        <v>0</v>
      </c>
      <c r="Q22" s="49">
        <f>IF(O22=""," ",VLOOKUP(O22,'[8]2012 личен състав ОТД'!$A:$AO,12,FALSE))</f>
        <v>0</v>
      </c>
      <c r="R22" s="49" t="e">
        <f>IF(A22=""," ",VLOOKUP(A22,'Профилиращ лист'!A:B,2,FALSE))</f>
        <v>#N/A</v>
      </c>
      <c r="S22" s="3"/>
      <c r="T22" s="3">
        <f t="shared" ca="1" si="0"/>
        <v>2013</v>
      </c>
    </row>
    <row r="23" spans="1:20" ht="18" hidden="1" customHeight="1" x14ac:dyDescent="0.25">
      <c r="A23" s="8" t="s">
        <v>31</v>
      </c>
      <c r="B23" s="4">
        <v>30</v>
      </c>
      <c r="C23" s="4">
        <f>'Български език и руски език'!C24/2</f>
        <v>15</v>
      </c>
      <c r="D23" s="4">
        <f>'Български език и руски език'!D24/2</f>
        <v>15</v>
      </c>
      <c r="E23" s="4">
        <f>'Български език и руски език'!E24</f>
        <v>0</v>
      </c>
      <c r="F23" s="4">
        <f>C23-D23-E23</f>
        <v>0</v>
      </c>
      <c r="G23" s="4">
        <f>H23-C23</f>
        <v>75</v>
      </c>
      <c r="H23" s="4">
        <v>90</v>
      </c>
      <c r="I23" s="4">
        <v>3</v>
      </c>
      <c r="J23" s="4" t="s">
        <v>14</v>
      </c>
      <c r="K23" s="73">
        <f t="shared" si="3"/>
        <v>40</v>
      </c>
      <c r="L23" s="73">
        <f t="shared" si="4"/>
        <v>40</v>
      </c>
      <c r="M23" s="74">
        <f t="shared" si="5"/>
        <v>0</v>
      </c>
      <c r="N23" s="49" t="str">
        <f>IF(O23=""," ",VLOOKUP(O23,'[8]2012 личен състав ОТД'!$A:$AO,2,FALSE))</f>
        <v xml:space="preserve">   </v>
      </c>
      <c r="O23" s="48">
        <f>IF(A23=""," ",VLOOKUP(A23,'Български език и история'!A:O,15,FALSE))</f>
        <v>0</v>
      </c>
      <c r="P23" s="49">
        <f>IF(O23=""," ",VLOOKUP(O23,'[8]2012 личен състав ОТД'!$A:$AO,13,FALSE))</f>
        <v>0</v>
      </c>
      <c r="Q23" s="49">
        <f>IF(O23=""," ",VLOOKUP(O23,'[8]2012 личен състав ОТД'!$A:$AO,12,FALSE))</f>
        <v>0</v>
      </c>
      <c r="R23" s="49" t="str">
        <f>IF(A23=""," ",VLOOKUP(A23,'Профилиращ лист'!A:B,2,FALSE))</f>
        <v>СПЕ</v>
      </c>
      <c r="S23" s="3"/>
      <c r="T23" s="3">
        <f t="shared" ca="1" si="0"/>
        <v>2013</v>
      </c>
    </row>
    <row r="24" spans="1:20" x14ac:dyDescent="0.25">
      <c r="A24" s="67" t="s">
        <v>34</v>
      </c>
      <c r="B24" s="4">
        <v>60</v>
      </c>
      <c r="C24" s="4">
        <f>'Български език и руски език'!C26/2</f>
        <v>30</v>
      </c>
      <c r="D24" s="4">
        <v>25</v>
      </c>
      <c r="E24" s="4">
        <v>5</v>
      </c>
      <c r="F24" s="4">
        <f t="shared" ref="F24:F30" si="10">C24-D24-E24</f>
        <v>0</v>
      </c>
      <c r="G24" s="4">
        <f t="shared" ref="G24:G30" si="11">H24-C24</f>
        <v>90</v>
      </c>
      <c r="H24" s="4">
        <v>120</v>
      </c>
      <c r="I24" s="4">
        <v>4</v>
      </c>
      <c r="J24" s="4" t="s">
        <v>12</v>
      </c>
      <c r="K24" s="73">
        <f t="shared" si="3"/>
        <v>30</v>
      </c>
      <c r="L24" s="73">
        <f t="shared" si="4"/>
        <v>25</v>
      </c>
      <c r="M24" s="74">
        <f t="shared" si="5"/>
        <v>5</v>
      </c>
      <c r="N24" s="49" t="str">
        <f>IF(O24=""," ",VLOOKUP(O24,'[8]2012 личен състав ОТД'!$A:$AO,2,FALSE))</f>
        <v>проф. д.п.н. Пламен Радев</v>
      </c>
      <c r="O24" s="48" t="str">
        <f>IF(A24=""," ",VLOOKUP(A24,'Български език и руски език'!A:O,15,FALSE))</f>
        <v>радев</v>
      </c>
      <c r="P24" s="49">
        <f>IF(O24=""," ",VLOOKUP(O24,'[8]2012 личен състав ОТД'!$A:$AO,13,FALSE))</f>
        <v>1950</v>
      </c>
      <c r="Q24" s="49" t="str">
        <f>IF(O24=""," ",VLOOKUP(O24,'[8]2012 личен състав ОТД'!$A:$AO,12,FALSE))</f>
        <v>ОТД</v>
      </c>
      <c r="R24" s="49" t="str">
        <f>IF(A24=""," ",VLOOKUP(A24,'Профилиращ лист'!A:B,2,FALSE))</f>
        <v>ПЕД</v>
      </c>
      <c r="S24" s="3"/>
      <c r="T24" s="3">
        <f t="shared" ca="1" si="0"/>
        <v>63</v>
      </c>
    </row>
    <row r="25" spans="1:20" ht="18" hidden="1" customHeight="1" x14ac:dyDescent="0.25">
      <c r="A25" s="8" t="s">
        <v>116</v>
      </c>
      <c r="B25" s="4">
        <v>90</v>
      </c>
      <c r="C25" s="4">
        <v>55</v>
      </c>
      <c r="D25" s="4">
        <f>'Български език и руски език'!D27/2</f>
        <v>0</v>
      </c>
      <c r="E25" s="4">
        <f>'Български език и руски език'!E27</f>
        <v>0</v>
      </c>
      <c r="F25" s="4">
        <f t="shared" si="10"/>
        <v>55</v>
      </c>
      <c r="G25" s="4">
        <f t="shared" si="11"/>
        <v>185</v>
      </c>
      <c r="H25" s="4">
        <v>240</v>
      </c>
      <c r="I25" s="4">
        <v>8</v>
      </c>
      <c r="J25" s="4" t="s">
        <v>14</v>
      </c>
      <c r="K25" s="73">
        <f t="shared" si="3"/>
        <v>330</v>
      </c>
      <c r="L25" s="73">
        <f t="shared" si="4"/>
        <v>0</v>
      </c>
      <c r="M25" s="74">
        <f t="shared" si="5"/>
        <v>330</v>
      </c>
      <c r="N25" s="49" t="e">
        <f>IF(O25=""," ",VLOOKUP(O25,'[8]2012 личен състав ОТД'!$A:$AO,2,FALSE))</f>
        <v>#N/A</v>
      </c>
      <c r="O25" s="48" t="e">
        <f>IF(A25=""," ",VLOOKUP(A25,'Български език и история'!A:O,15,FALSE))</f>
        <v>#N/A</v>
      </c>
      <c r="P25" s="49" t="e">
        <f>IF(O25=""," ",VLOOKUP(O25,'[8]2012 личен състав ОТД'!$A:$AO,13,FALSE))</f>
        <v>#N/A</v>
      </c>
      <c r="Q25" s="49" t="e">
        <f>IF(O25=""," ",VLOOKUP(O25,'[8]2012 личен състав ОТД'!$A:$AO,12,FALSE))</f>
        <v>#N/A</v>
      </c>
      <c r="R25" s="49" t="str">
        <f>IF(A25=""," ",VLOOKUP(A25,'Профилиращ лист'!A:B,2,FALSE))</f>
        <v>ПРА</v>
      </c>
      <c r="S25" s="3"/>
      <c r="T25" s="3" t="e">
        <f t="shared" ca="1" si="0"/>
        <v>#N/A</v>
      </c>
    </row>
    <row r="26" spans="1:20" x14ac:dyDescent="0.25">
      <c r="A26" s="67" t="s">
        <v>35</v>
      </c>
      <c r="B26" s="4">
        <v>45</v>
      </c>
      <c r="C26" s="4">
        <v>25</v>
      </c>
      <c r="D26" s="4">
        <v>25</v>
      </c>
      <c r="E26" s="4">
        <f>'Български език и руски език'!E28</f>
        <v>0</v>
      </c>
      <c r="F26" s="4">
        <f t="shared" si="10"/>
        <v>0</v>
      </c>
      <c r="G26" s="4">
        <f t="shared" si="11"/>
        <v>65</v>
      </c>
      <c r="H26" s="4">
        <v>90</v>
      </c>
      <c r="I26" s="4">
        <v>4</v>
      </c>
      <c r="J26" s="4" t="s">
        <v>12</v>
      </c>
      <c r="K26" s="73">
        <f t="shared" si="3"/>
        <v>25</v>
      </c>
      <c r="L26" s="73">
        <f t="shared" si="4"/>
        <v>25</v>
      </c>
      <c r="M26" s="74">
        <f t="shared" si="5"/>
        <v>0</v>
      </c>
      <c r="N26" s="49" t="str">
        <f>IF(O26=""," ",VLOOKUP(O26,'[8]2012 личен състав ОТД'!$A:$AO,2,FALSE))</f>
        <v>проф. д.п.н. Румен Стаматов</v>
      </c>
      <c r="O26" s="48" t="str">
        <f>IF(A26=""," ",VLOOKUP(A26,'Български език и руски език'!A:O,15,FALSE))</f>
        <v>стаматов</v>
      </c>
      <c r="P26" s="49">
        <f>IF(O26=""," ",VLOOKUP(O26,'[8]2012 личен състав ОТД'!$A:$AO,13,FALSE))</f>
        <v>1953</v>
      </c>
      <c r="Q26" s="49" t="str">
        <f>IF(O26=""," ",VLOOKUP(O26,'[8]2012 личен състав ОТД'!$A:$AO,12,FALSE))</f>
        <v>ОТД</v>
      </c>
      <c r="R26" s="49" t="str">
        <f>IF(A26=""," ",VLOOKUP(A26,'Профилиращ лист'!A:B,2,FALSE))</f>
        <v>ПЕД</v>
      </c>
      <c r="S26" s="3"/>
      <c r="T26" s="3">
        <f t="shared" ca="1" si="0"/>
        <v>60</v>
      </c>
    </row>
    <row r="27" spans="1:20" x14ac:dyDescent="0.25">
      <c r="A27" s="67" t="s">
        <v>122</v>
      </c>
      <c r="B27" s="4">
        <v>30</v>
      </c>
      <c r="C27" s="4">
        <f>'Български език и руски език'!C29/2</f>
        <v>15</v>
      </c>
      <c r="D27" s="4">
        <v>10</v>
      </c>
      <c r="E27" s="4">
        <v>5</v>
      </c>
      <c r="F27" s="4">
        <f t="shared" si="10"/>
        <v>0</v>
      </c>
      <c r="G27" s="4">
        <f t="shared" si="11"/>
        <v>45</v>
      </c>
      <c r="H27" s="4">
        <v>60</v>
      </c>
      <c r="I27" s="4">
        <v>2</v>
      </c>
      <c r="J27" s="4" t="s">
        <v>12</v>
      </c>
      <c r="K27" s="73">
        <f t="shared" si="3"/>
        <v>15</v>
      </c>
      <c r="L27" s="73">
        <f t="shared" si="4"/>
        <v>10</v>
      </c>
      <c r="M27" s="74">
        <f t="shared" si="5"/>
        <v>5</v>
      </c>
      <c r="N27" s="49" t="str">
        <f>IF(O27=""," ",VLOOKUP(O27,'[8]2012 личен състав ОТД'!$A:$AO,2,FALSE))</f>
        <v>доц. д-р  Елена Томова</v>
      </c>
      <c r="O27" s="48" t="str">
        <f>IF(A27=""," ",VLOOKUP(A27,'Български език и руски език'!A:O,15,FALSE))</f>
        <v>етомова</v>
      </c>
      <c r="P27" s="49">
        <f>IF(O27=""," ",VLOOKUP(O27,'[8]2012 личен състав ОТД'!$A:$AO,13,FALSE))</f>
        <v>0</v>
      </c>
      <c r="Q27" s="49" t="str">
        <f>IF(O27=""," ",VLOOKUP(O27,'[8]2012 личен състав ОТД'!$A:$AO,12,FALSE))</f>
        <v>ХОН</v>
      </c>
      <c r="R27" s="49" t="str">
        <f>IF(A27=""," ",VLOOKUP(A27,'Профилиращ лист'!A:B,2,FALSE))</f>
        <v>СПЕ</v>
      </c>
      <c r="S27" s="3"/>
      <c r="T27" s="3">
        <f t="shared" ca="1" si="0"/>
        <v>2013</v>
      </c>
    </row>
    <row r="28" spans="1:20" x14ac:dyDescent="0.25">
      <c r="A28" s="67" t="s">
        <v>37</v>
      </c>
      <c r="B28" s="4">
        <v>30</v>
      </c>
      <c r="C28" s="4">
        <v>25</v>
      </c>
      <c r="D28" s="4">
        <v>20</v>
      </c>
      <c r="E28" s="4">
        <v>5</v>
      </c>
      <c r="F28" s="4">
        <f t="shared" si="10"/>
        <v>0</v>
      </c>
      <c r="G28" s="4">
        <f t="shared" si="11"/>
        <v>65</v>
      </c>
      <c r="H28" s="4">
        <v>90</v>
      </c>
      <c r="I28" s="4">
        <v>3</v>
      </c>
      <c r="J28" s="4" t="s">
        <v>12</v>
      </c>
      <c r="K28" s="73">
        <f t="shared" si="3"/>
        <v>25</v>
      </c>
      <c r="L28" s="73">
        <f t="shared" si="4"/>
        <v>20</v>
      </c>
      <c r="M28" s="74">
        <f t="shared" si="5"/>
        <v>5</v>
      </c>
      <c r="N28" s="49" t="str">
        <f>IF(O28=""," ",VLOOKUP(O28,'[8]2012 личен състав ОТД'!$A:$AO,2,FALSE))</f>
        <v>гл. ас. д-р Иванка Гайдаджиева</v>
      </c>
      <c r="O28" s="48" t="str">
        <f>IF(A28=""," ",VLOOKUP(A28,'Български език и руски език'!A:O,15,FALSE))</f>
        <v>гайдаджиева</v>
      </c>
      <c r="P28" s="49">
        <f>IF(O28=""," ",VLOOKUP(O28,'[8]2012 личен състав ОТД'!$A:$AO,13,FALSE))</f>
        <v>1958</v>
      </c>
      <c r="Q28" s="49" t="str">
        <f>IF(O28=""," ",VLOOKUP(O28,'[8]2012 личен състав ОТД'!$A:$AO,12,FALSE))</f>
        <v>ОТД</v>
      </c>
      <c r="R28" s="49" t="str">
        <f>IF(A28=""," ",VLOOKUP(A28,'Профилиращ лист'!A:B,2,FALSE))</f>
        <v>СПЕ</v>
      </c>
      <c r="S28" s="3"/>
      <c r="T28" s="3">
        <f t="shared" ca="1" si="0"/>
        <v>55</v>
      </c>
    </row>
    <row r="29" spans="1:20" x14ac:dyDescent="0.25">
      <c r="A29" s="67" t="s">
        <v>123</v>
      </c>
      <c r="B29" s="4">
        <v>30</v>
      </c>
      <c r="C29" s="4">
        <v>25</v>
      </c>
      <c r="D29" s="4">
        <f>'Български език и руски език'!D31/2</f>
        <v>15</v>
      </c>
      <c r="E29" s="4">
        <v>10</v>
      </c>
      <c r="F29" s="4">
        <f t="shared" si="10"/>
        <v>0</v>
      </c>
      <c r="G29" s="4">
        <f t="shared" si="11"/>
        <v>65</v>
      </c>
      <c r="H29" s="4">
        <v>90</v>
      </c>
      <c r="I29" s="4">
        <v>3</v>
      </c>
      <c r="J29" s="4" t="s">
        <v>12</v>
      </c>
      <c r="K29" s="73">
        <f t="shared" si="3"/>
        <v>25</v>
      </c>
      <c r="L29" s="73">
        <f t="shared" si="4"/>
        <v>15</v>
      </c>
      <c r="M29" s="74">
        <f t="shared" si="5"/>
        <v>10</v>
      </c>
      <c r="N29" s="49" t="str">
        <f>IF(O29=""," ",VLOOKUP(O29,'[8]2012 личен състав ОТД'!$A:$AO,2,FALSE))</f>
        <v>проф. д-р Стефка Георгиева</v>
      </c>
      <c r="O29" s="48" t="str">
        <f>IF(A29=""," ",VLOOKUP(A29,'Български език и руски език'!A:O,15,FALSE))</f>
        <v>георгиева</v>
      </c>
      <c r="P29" s="49">
        <f>IF(O29=""," ",VLOOKUP(O29,'[8]2012 личен състав ОТД'!$A:$AO,13,FALSE))</f>
        <v>1945</v>
      </c>
      <c r="Q29" s="49" t="str">
        <f>IF(O29=""," ",VLOOKUP(O29,'[8]2012 личен състав ОТД'!$A:$AO,12,FALSE))</f>
        <v>ОТД</v>
      </c>
      <c r="R29" s="49" t="str">
        <f>IF(A29=""," ",VLOOKUP(A29,'Профилиращ лист'!A:B,2,FALSE))</f>
        <v>СПЕ</v>
      </c>
      <c r="S29" s="3"/>
      <c r="T29" s="3">
        <f t="shared" ca="1" si="0"/>
        <v>68</v>
      </c>
    </row>
    <row r="30" spans="1:20" ht="18" hidden="1" customHeight="1" x14ac:dyDescent="0.25">
      <c r="A30" s="8" t="s">
        <v>249</v>
      </c>
      <c r="B30" s="4">
        <v>15</v>
      </c>
      <c r="C30" s="4">
        <v>10</v>
      </c>
      <c r="D30" s="4">
        <v>0</v>
      </c>
      <c r="E30" s="4">
        <v>10</v>
      </c>
      <c r="F30" s="4">
        <f t="shared" si="10"/>
        <v>0</v>
      </c>
      <c r="G30" s="4">
        <f t="shared" si="11"/>
        <v>50</v>
      </c>
      <c r="H30" s="4">
        <v>60</v>
      </c>
      <c r="I30" s="4">
        <v>3</v>
      </c>
      <c r="J30" s="4" t="s">
        <v>18</v>
      </c>
      <c r="K30" s="73">
        <f t="shared" si="3"/>
        <v>10</v>
      </c>
      <c r="L30" s="73">
        <f t="shared" si="4"/>
        <v>0</v>
      </c>
      <c r="M30" s="74">
        <f t="shared" si="5"/>
        <v>10</v>
      </c>
      <c r="N30" s="49" t="e">
        <f>IF(O30=""," ",VLOOKUP(O30,'[8]2012 личен състав ОТД'!$A:$AO,2,FALSE))</f>
        <v>#N/A</v>
      </c>
      <c r="O30" s="48" t="e">
        <f>IF(A30=""," ",VLOOKUP(A30,'Български език и история'!A:O,15,FALSE))</f>
        <v>#N/A</v>
      </c>
      <c r="P30" s="49" t="e">
        <f>IF(O30=""," ",VLOOKUP(O30,'[8]2012 личен състав ОТД'!$A:$AO,13,FALSE))</f>
        <v>#N/A</v>
      </c>
      <c r="Q30" s="49" t="e">
        <f>IF(O30=""," ",VLOOKUP(O30,'[8]2012 личен състав ОТД'!$A:$AO,12,FALSE))</f>
        <v>#N/A</v>
      </c>
      <c r="R30" s="49" t="e">
        <f>IF(A30=""," ",VLOOKUP(A30,'Профилиращ лист'!A:B,2,FALSE))</f>
        <v>#N/A</v>
      </c>
      <c r="S30" s="3"/>
      <c r="T30" s="3" t="e">
        <f t="shared" ca="1" si="0"/>
        <v>#N/A</v>
      </c>
    </row>
    <row r="31" spans="1:20" x14ac:dyDescent="0.25">
      <c r="A31" s="67" t="s">
        <v>250</v>
      </c>
      <c r="B31" s="4">
        <v>15</v>
      </c>
      <c r="C31" s="4">
        <v>15</v>
      </c>
      <c r="D31" s="4">
        <v>15</v>
      </c>
      <c r="E31" s="4">
        <v>0</v>
      </c>
      <c r="F31" s="4">
        <f>C31-D31-E31</f>
        <v>0</v>
      </c>
      <c r="G31" s="4">
        <f>H31-C31</f>
        <v>45</v>
      </c>
      <c r="H31" s="4">
        <v>60</v>
      </c>
      <c r="I31" s="4">
        <v>3</v>
      </c>
      <c r="J31" s="4" t="s">
        <v>12</v>
      </c>
      <c r="K31" s="73">
        <f t="shared" si="3"/>
        <v>15</v>
      </c>
      <c r="L31" s="73">
        <f t="shared" si="4"/>
        <v>15</v>
      </c>
      <c r="M31" s="74">
        <f t="shared" si="5"/>
        <v>0</v>
      </c>
      <c r="N31" s="49" t="str">
        <f>IF(O31=""," ",VLOOKUP(O31,'[8]2012 личен състав ОТД'!$A:$AO,2,FALSE))</f>
        <v>доц. д-р Татяна Ичевска</v>
      </c>
      <c r="O31" s="48" t="s">
        <v>480</v>
      </c>
      <c r="P31" s="49">
        <f>IF(O31=""," ",VLOOKUP(O31,'[8]2012 личен състав ОТД'!$A:$AO,13,FALSE))</f>
        <v>1970</v>
      </c>
      <c r="Q31" s="49" t="str">
        <f>IF(O31=""," ",VLOOKUP(O31,'[8]2012 личен състав ОТД'!$A:$AO,12,FALSE))</f>
        <v>ОТД</v>
      </c>
      <c r="R31" s="49" t="s">
        <v>272</v>
      </c>
      <c r="S31" s="3"/>
      <c r="T31" s="3">
        <f t="shared" ca="1" si="0"/>
        <v>43</v>
      </c>
    </row>
    <row r="32" spans="1:20" ht="18" hidden="1" customHeight="1" x14ac:dyDescent="0.25">
      <c r="A32" s="8"/>
      <c r="B32" s="9">
        <f>SUM(B23:B30)</f>
        <v>330</v>
      </c>
      <c r="C32" s="9">
        <f>SUM(C23:C31)</f>
        <v>215</v>
      </c>
      <c r="D32" s="9">
        <f t="shared" ref="D32:I32" si="12">SUM(D23:D31)</f>
        <v>125</v>
      </c>
      <c r="E32" s="9">
        <f t="shared" si="12"/>
        <v>35</v>
      </c>
      <c r="F32" s="9">
        <f t="shared" si="12"/>
        <v>55</v>
      </c>
      <c r="G32" s="9">
        <f t="shared" si="12"/>
        <v>685</v>
      </c>
      <c r="H32" s="9">
        <f t="shared" si="12"/>
        <v>900</v>
      </c>
      <c r="I32" s="9">
        <f t="shared" si="12"/>
        <v>33</v>
      </c>
      <c r="J32" s="6"/>
      <c r="K32" s="73">
        <f t="shared" si="3"/>
        <v>0</v>
      </c>
      <c r="L32" s="73">
        <f t="shared" si="4"/>
        <v>0</v>
      </c>
      <c r="M32" s="74">
        <f t="shared" si="5"/>
        <v>0</v>
      </c>
      <c r="N32" s="49" t="e">
        <f>IF(O32=""," ",VLOOKUP(O32,'[8]2012 личен състав ОТД'!$A:$AO,2,FALSE))</f>
        <v>#N/A</v>
      </c>
      <c r="O32" s="48" t="str">
        <f>IF(A32=""," ",VLOOKUP(A32,'Български език и история'!A:O,15,FALSE))</f>
        <v xml:space="preserve"> </v>
      </c>
      <c r="P32" s="49" t="e">
        <f>IF(O32=""," ",VLOOKUP(O32,'[8]2012 личен състав ОТД'!$A:$AO,13,FALSE))</f>
        <v>#N/A</v>
      </c>
      <c r="Q32" s="49" t="e">
        <f>IF(O32=""," ",VLOOKUP(O32,'[8]2012 личен състав ОТД'!$A:$AO,12,FALSE))</f>
        <v>#N/A</v>
      </c>
      <c r="R32" s="49" t="str">
        <f>IF(A32=""," ",VLOOKUP(A32,'Профилиращ лист'!A:B,2,FALSE))</f>
        <v xml:space="preserve"> </v>
      </c>
      <c r="S32" s="3"/>
      <c r="T32" s="3" t="e">
        <f t="shared" ca="1" si="0"/>
        <v>#N/A</v>
      </c>
    </row>
    <row r="33" spans="1:28" ht="18" hidden="1" customHeight="1" x14ac:dyDescent="0.25">
      <c r="A33" s="1" t="s">
        <v>38</v>
      </c>
      <c r="B33" s="1"/>
      <c r="C33" s="4"/>
      <c r="D33" s="4"/>
      <c r="E33" s="4"/>
      <c r="F33" s="4"/>
      <c r="G33" s="4"/>
      <c r="H33" s="4"/>
      <c r="I33" s="4"/>
      <c r="J33" s="6"/>
      <c r="K33" s="73">
        <f t="shared" si="3"/>
        <v>0</v>
      </c>
      <c r="L33" s="73">
        <f t="shared" si="4"/>
        <v>0</v>
      </c>
      <c r="M33" s="74">
        <f t="shared" si="5"/>
        <v>0</v>
      </c>
      <c r="N33" s="49" t="str">
        <f>IF(O33=""," ",VLOOKUP(O33,'[8]2012 личен състав ОТД'!$A:$AO,2,FALSE))</f>
        <v xml:space="preserve">   </v>
      </c>
      <c r="O33" s="48">
        <f>IF(A33=""," ",VLOOKUP(A33,'Български език и история'!A:O,15,FALSE))</f>
        <v>0</v>
      </c>
      <c r="P33" s="49">
        <f>IF(O33=""," ",VLOOKUP(O33,'[8]2012 личен състав ОТД'!$A:$AO,13,FALSE))</f>
        <v>0</v>
      </c>
      <c r="Q33" s="49">
        <f>IF(O33=""," ",VLOOKUP(O33,'[8]2012 личен състав ОТД'!$A:$AO,12,FALSE))</f>
        <v>0</v>
      </c>
      <c r="R33" s="49" t="e">
        <f>IF(A33=""," ",VLOOKUP(A33,'Профилиращ лист'!A:B,2,FALSE))</f>
        <v>#N/A</v>
      </c>
      <c r="S33" s="3"/>
      <c r="T33" s="3">
        <f t="shared" ca="1" si="0"/>
        <v>2013</v>
      </c>
    </row>
    <row r="34" spans="1:28" ht="17.100000000000001" hidden="1" customHeight="1" x14ac:dyDescent="0.25">
      <c r="A34" s="8" t="s">
        <v>39</v>
      </c>
      <c r="B34" s="4">
        <v>45</v>
      </c>
      <c r="C34" s="4">
        <v>25</v>
      </c>
      <c r="D34" s="4">
        <f>'Български език и руски език'!D36/2</f>
        <v>15</v>
      </c>
      <c r="E34" s="4">
        <v>10</v>
      </c>
      <c r="F34" s="4">
        <f>C34-D34-E34</f>
        <v>0</v>
      </c>
      <c r="G34" s="4">
        <f>H34-C34</f>
        <v>95</v>
      </c>
      <c r="H34" s="4">
        <v>120</v>
      </c>
      <c r="I34" s="4">
        <v>4</v>
      </c>
      <c r="J34" s="4" t="s">
        <v>14</v>
      </c>
      <c r="K34" s="73">
        <f t="shared" si="3"/>
        <v>50</v>
      </c>
      <c r="L34" s="73">
        <f t="shared" si="4"/>
        <v>30</v>
      </c>
      <c r="M34" s="74">
        <f t="shared" si="5"/>
        <v>20</v>
      </c>
      <c r="N34" s="49" t="str">
        <f>IF(O34=""," ",VLOOKUP(O34,'[8]2012 личен състав ОТД'!$A:$AO,2,FALSE))</f>
        <v xml:space="preserve">   </v>
      </c>
      <c r="O34" s="48">
        <f>IF(A34=""," ",VLOOKUP(A34,'Български език и история'!A:O,15,FALSE))</f>
        <v>0</v>
      </c>
      <c r="P34" s="49">
        <f>IF(O34=""," ",VLOOKUP(O34,'[8]2012 личен състав ОТД'!$A:$AO,13,FALSE))</f>
        <v>0</v>
      </c>
      <c r="Q34" s="49">
        <f>IF(O34=""," ",VLOOKUP(O34,'[8]2012 личен състав ОТД'!$A:$AO,12,FALSE))</f>
        <v>0</v>
      </c>
      <c r="R34" s="49" t="str">
        <f>IF(A34=""," ",VLOOKUP(A34,'Профилиращ лист'!A:B,2,FALSE))</f>
        <v>СПЕ</v>
      </c>
      <c r="S34" s="3"/>
      <c r="T34" s="3">
        <f t="shared" ca="1" si="0"/>
        <v>2013</v>
      </c>
    </row>
    <row r="35" spans="1:28" x14ac:dyDescent="0.25">
      <c r="A35" s="67" t="s">
        <v>31</v>
      </c>
      <c r="B35" s="4">
        <v>30</v>
      </c>
      <c r="C35" s="4">
        <v>25</v>
      </c>
      <c r="D35" s="4">
        <v>25</v>
      </c>
      <c r="E35" s="4">
        <v>0</v>
      </c>
      <c r="F35" s="4">
        <f t="shared" ref="F35:F41" si="13">C35-D35-E35</f>
        <v>0</v>
      </c>
      <c r="G35" s="4">
        <f t="shared" ref="G35:G41" si="14">H35-C35</f>
        <v>65</v>
      </c>
      <c r="H35" s="4">
        <v>90</v>
      </c>
      <c r="I35" s="4">
        <v>3</v>
      </c>
      <c r="J35" s="4" t="s">
        <v>12</v>
      </c>
      <c r="K35" s="73">
        <f t="shared" si="3"/>
        <v>40</v>
      </c>
      <c r="L35" s="73">
        <f t="shared" si="4"/>
        <v>40</v>
      </c>
      <c r="M35" s="74">
        <f t="shared" si="5"/>
        <v>0</v>
      </c>
      <c r="N35" s="49" t="str">
        <f>IF(O35=""," ",VLOOKUP(O35,'[8]2012 личен състав ОТД'!$A:$AO,2,FALSE))</f>
        <v>доц. д-р Елена Гетова</v>
      </c>
      <c r="O35" s="48" t="s">
        <v>468</v>
      </c>
      <c r="P35" s="49">
        <f>IF(O35=""," ",VLOOKUP(O35,'[8]2012 личен състав ОТД'!$A:$AO,13,FALSE))</f>
        <v>1969</v>
      </c>
      <c r="Q35" s="49" t="str">
        <f>IF(O35=""," ",VLOOKUP(O35,'[8]2012 личен състав ОТД'!$A:$AO,12,FALSE))</f>
        <v>ОТД</v>
      </c>
      <c r="R35" s="49" t="str">
        <f>IF(A35=""," ",VLOOKUP(A35,'Профилиращ лист'!A:B,2,FALSE))</f>
        <v>СПЕ</v>
      </c>
      <c r="S35" s="3"/>
      <c r="T35" s="3">
        <f t="shared" ref="T35:T66" ca="1" si="15">Години-P35</f>
        <v>44</v>
      </c>
    </row>
    <row r="36" spans="1:28" x14ac:dyDescent="0.25">
      <c r="A36" s="67" t="s">
        <v>40</v>
      </c>
      <c r="B36" s="4">
        <v>30</v>
      </c>
      <c r="C36" s="4">
        <f>'Български език и руски език'!C38/2</f>
        <v>22.5</v>
      </c>
      <c r="D36" s="4">
        <v>15</v>
      </c>
      <c r="E36" s="4">
        <v>0</v>
      </c>
      <c r="F36" s="4">
        <f t="shared" si="13"/>
        <v>7.5</v>
      </c>
      <c r="G36" s="4">
        <f t="shared" si="14"/>
        <v>37.5</v>
      </c>
      <c r="H36" s="4">
        <v>60</v>
      </c>
      <c r="I36" s="4">
        <v>2</v>
      </c>
      <c r="J36" s="4" t="s">
        <v>12</v>
      </c>
      <c r="K36" s="73">
        <f t="shared" si="3"/>
        <v>22.5</v>
      </c>
      <c r="L36" s="73">
        <f t="shared" si="4"/>
        <v>15</v>
      </c>
      <c r="M36" s="74">
        <f t="shared" si="5"/>
        <v>7.5</v>
      </c>
      <c r="N36" s="49" t="str">
        <f>IF(O36=""," ",VLOOKUP(O36,'[8]2012 личен състав ОТД'!$A:$AO,2,FALSE))</f>
        <v>проф. дфн Диана Иванова</v>
      </c>
      <c r="O36" s="48" t="str">
        <f>IF(A36=""," ",VLOOKUP(A36,'Български език и руски език'!A:O,15,FALSE))</f>
        <v>диванова</v>
      </c>
      <c r="P36" s="49">
        <f>IF(O36=""," ",VLOOKUP(O36,'[8]2012 личен състав ОТД'!$A:$AO,13,FALSE))</f>
        <v>1950</v>
      </c>
      <c r="Q36" s="49" t="str">
        <f>IF(O36=""," ",VLOOKUP(O36,'[8]2012 личен състав ОТД'!$A:$AO,12,FALSE))</f>
        <v>ОТД</v>
      </c>
      <c r="R36" s="49" t="str">
        <f>IF(A36=""," ",VLOOKUP(A36,'Профилиращ лист'!A:B,2,FALSE))</f>
        <v>СПЕ</v>
      </c>
      <c r="S36" s="3"/>
      <c r="T36" s="3">
        <f t="shared" ca="1" si="15"/>
        <v>63</v>
      </c>
    </row>
    <row r="37" spans="1:28" ht="17.100000000000001" hidden="1" customHeight="1" x14ac:dyDescent="0.25">
      <c r="A37" s="8" t="s">
        <v>116</v>
      </c>
      <c r="B37" s="4">
        <v>90</v>
      </c>
      <c r="C37" s="4">
        <v>40</v>
      </c>
      <c r="D37" s="4">
        <f>'Български език и руски език'!D39/2</f>
        <v>0</v>
      </c>
      <c r="E37" s="4">
        <f>'Български език и руски език'!E39</f>
        <v>0</v>
      </c>
      <c r="F37" s="4">
        <f t="shared" si="13"/>
        <v>40</v>
      </c>
      <c r="G37" s="4">
        <f t="shared" si="14"/>
        <v>200</v>
      </c>
      <c r="H37" s="4">
        <v>240</v>
      </c>
      <c r="I37" s="4">
        <v>8</v>
      </c>
      <c r="J37" s="4" t="s">
        <v>12</v>
      </c>
      <c r="K37" s="73">
        <f t="shared" si="3"/>
        <v>330</v>
      </c>
      <c r="L37" s="73">
        <f t="shared" si="4"/>
        <v>0</v>
      </c>
      <c r="M37" s="74">
        <f t="shared" si="5"/>
        <v>330</v>
      </c>
      <c r="N37" s="49" t="e">
        <f>IF(O37=""," ",VLOOKUP(O37,'[8]2012 личен състав ОТД'!$A:$AO,2,FALSE))</f>
        <v>#N/A</v>
      </c>
      <c r="O37" s="48" t="e">
        <f>IF(A37=""," ",VLOOKUP(A37,'Български език и история'!A:O,15,FALSE))</f>
        <v>#N/A</v>
      </c>
      <c r="P37" s="49" t="e">
        <f>IF(O37=""," ",VLOOKUP(O37,'[8]2012 личен състав ОТД'!$A:$AO,13,FALSE))</f>
        <v>#N/A</v>
      </c>
      <c r="Q37" s="49" t="e">
        <f>IF(O37=""," ",VLOOKUP(O37,'[8]2012 личен състав ОТД'!$A:$AO,12,FALSE))</f>
        <v>#N/A</v>
      </c>
      <c r="R37" s="49" t="str">
        <f>IF(A37=""," ",VLOOKUP(A37,'Профилиращ лист'!A:B,2,FALSE))</f>
        <v>ПРА</v>
      </c>
      <c r="S37" s="3" t="s">
        <v>5</v>
      </c>
      <c r="T37" s="3" t="e">
        <f t="shared" ca="1" si="15"/>
        <v>#N/A</v>
      </c>
    </row>
    <row r="38" spans="1:28" x14ac:dyDescent="0.25">
      <c r="A38" s="67" t="s">
        <v>125</v>
      </c>
      <c r="B38" s="4">
        <v>30</v>
      </c>
      <c r="C38" s="4">
        <f>'Български език и руски език'!C40/2</f>
        <v>15</v>
      </c>
      <c r="D38" s="4">
        <v>10</v>
      </c>
      <c r="E38" s="4">
        <v>5</v>
      </c>
      <c r="F38" s="4">
        <f t="shared" si="13"/>
        <v>0</v>
      </c>
      <c r="G38" s="4">
        <f t="shared" si="14"/>
        <v>105</v>
      </c>
      <c r="H38" s="4">
        <v>120</v>
      </c>
      <c r="I38" s="4">
        <v>4</v>
      </c>
      <c r="J38" s="4" t="s">
        <v>12</v>
      </c>
      <c r="K38" s="73">
        <f t="shared" si="3"/>
        <v>15</v>
      </c>
      <c r="L38" s="73">
        <f t="shared" si="4"/>
        <v>10</v>
      </c>
      <c r="M38" s="74">
        <f t="shared" si="5"/>
        <v>5</v>
      </c>
      <c r="N38" s="49" t="str">
        <f>IF(O38=""," ",VLOOKUP(O38,'[8]2012 личен състав ОТД'!$A:$AO,2,FALSE))</f>
        <v>доц. д-р  Елена Томова</v>
      </c>
      <c r="O38" s="48" t="str">
        <f>IF(A38=""," ",VLOOKUP(A38,'Български език и руски език'!A:O,15,FALSE))</f>
        <v>етомова</v>
      </c>
      <c r="P38" s="49">
        <f>IF(O38=""," ",VLOOKUP(O38,'[8]2012 личен състав ОТД'!$A:$AO,13,FALSE))</f>
        <v>0</v>
      </c>
      <c r="Q38" s="49" t="str">
        <f>IF(O38=""," ",VLOOKUP(O38,'[8]2012 личен състав ОТД'!$A:$AO,12,FALSE))</f>
        <v>ХОН</v>
      </c>
      <c r="R38" s="49" t="s">
        <v>255</v>
      </c>
      <c r="S38" s="3" t="s">
        <v>5</v>
      </c>
      <c r="T38" s="3">
        <f t="shared" ca="1" si="15"/>
        <v>2013</v>
      </c>
    </row>
    <row r="39" spans="1:28" ht="17.100000000000001" hidden="1" customHeight="1" x14ac:dyDescent="0.25">
      <c r="A39" s="8" t="s">
        <v>44</v>
      </c>
      <c r="B39" s="4">
        <v>30</v>
      </c>
      <c r="C39" s="4">
        <v>25</v>
      </c>
      <c r="D39" s="4">
        <f>'Български език и руски език'!D41/2</f>
        <v>15</v>
      </c>
      <c r="E39" s="4">
        <v>10</v>
      </c>
      <c r="F39" s="4">
        <f t="shared" si="13"/>
        <v>0</v>
      </c>
      <c r="G39" s="4">
        <f t="shared" si="14"/>
        <v>65</v>
      </c>
      <c r="H39" s="4">
        <v>90</v>
      </c>
      <c r="I39" s="4">
        <v>3</v>
      </c>
      <c r="J39" s="4" t="s">
        <v>14</v>
      </c>
      <c r="K39" s="73">
        <f t="shared" si="3"/>
        <v>50</v>
      </c>
      <c r="L39" s="73">
        <f t="shared" si="4"/>
        <v>30</v>
      </c>
      <c r="M39" s="74">
        <f t="shared" si="5"/>
        <v>20</v>
      </c>
      <c r="N39" s="49" t="str">
        <f>IF(O39=""," ",VLOOKUP(O39,'[8]2012 личен състав ОТД'!$A:$AO,2,FALSE))</f>
        <v xml:space="preserve">   </v>
      </c>
      <c r="O39" s="48">
        <f>IF(A39=""," ",VLOOKUP(A39,'Български език и история'!A:O,15,FALSE))</f>
        <v>0</v>
      </c>
      <c r="P39" s="49">
        <f>IF(O39=""," ",VLOOKUP(O39,'[8]2012 личен състав ОТД'!$A:$AO,13,FALSE))</f>
        <v>0</v>
      </c>
      <c r="Q39" s="49">
        <f>IF(O39=""," ",VLOOKUP(O39,'[8]2012 личен състав ОТД'!$A:$AO,12,FALSE))</f>
        <v>0</v>
      </c>
      <c r="R39" s="49" t="str">
        <f>IF(A39=""," ",VLOOKUP(A39,'Профилиращ лист'!A:B,2,FALSE))</f>
        <v>СПЕ</v>
      </c>
      <c r="S39" s="3"/>
      <c r="T39" s="3">
        <f t="shared" ca="1" si="15"/>
        <v>2013</v>
      </c>
    </row>
    <row r="40" spans="1:28" ht="17.100000000000001" hidden="1" customHeight="1" x14ac:dyDescent="0.25">
      <c r="A40" s="8" t="s">
        <v>126</v>
      </c>
      <c r="B40" s="4">
        <v>30</v>
      </c>
      <c r="C40" s="4">
        <f>'Български език и руски език'!C42/2</f>
        <v>15</v>
      </c>
      <c r="D40" s="4">
        <v>10</v>
      </c>
      <c r="E40" s="4">
        <v>5</v>
      </c>
      <c r="F40" s="4">
        <f t="shared" si="13"/>
        <v>0</v>
      </c>
      <c r="G40" s="4">
        <f t="shared" si="14"/>
        <v>75</v>
      </c>
      <c r="H40" s="4">
        <v>90</v>
      </c>
      <c r="I40" s="4">
        <v>3</v>
      </c>
      <c r="J40" s="4" t="s">
        <v>14</v>
      </c>
      <c r="K40" s="73">
        <f t="shared" si="3"/>
        <v>30</v>
      </c>
      <c r="L40" s="73">
        <f t="shared" si="4"/>
        <v>20</v>
      </c>
      <c r="M40" s="74">
        <f t="shared" si="5"/>
        <v>10</v>
      </c>
      <c r="N40" s="49" t="e">
        <f>IF(O40=""," ",VLOOKUP(O40,'[8]2012 личен състав ОТД'!$A:$AO,2,FALSE))</f>
        <v>#N/A</v>
      </c>
      <c r="O40" s="48" t="e">
        <f>IF(A40=""," ",VLOOKUP(A40,'Български език и история'!A:O,15,FALSE))</f>
        <v>#N/A</v>
      </c>
      <c r="P40" s="49" t="e">
        <f>IF(O40=""," ",VLOOKUP(O40,'[8]2012 личен състав ОТД'!$A:$AO,13,FALSE))</f>
        <v>#N/A</v>
      </c>
      <c r="Q40" s="49" t="e">
        <f>IF(O40=""," ",VLOOKUP(O40,'[8]2012 личен състав ОТД'!$A:$AO,12,FALSE))</f>
        <v>#N/A</v>
      </c>
      <c r="R40" s="49" t="str">
        <f>IF(A40=""," ",VLOOKUP(A40,'Профилиращ лист'!A:B,2,FALSE))</f>
        <v>СПЕ</v>
      </c>
      <c r="S40" s="3"/>
      <c r="T40" s="3" t="e">
        <f t="shared" ca="1" si="15"/>
        <v>#N/A</v>
      </c>
    </row>
    <row r="41" spans="1:28" x14ac:dyDescent="0.25">
      <c r="A41" s="77" t="s">
        <v>127</v>
      </c>
      <c r="B41" s="4">
        <v>30</v>
      </c>
      <c r="C41" s="4">
        <v>10</v>
      </c>
      <c r="D41" s="4">
        <v>10</v>
      </c>
      <c r="E41" s="4">
        <f>'Български език и руски език'!E43</f>
        <v>0</v>
      </c>
      <c r="F41" s="4">
        <f t="shared" si="13"/>
        <v>0</v>
      </c>
      <c r="G41" s="4">
        <f t="shared" si="14"/>
        <v>80</v>
      </c>
      <c r="H41" s="4">
        <v>90</v>
      </c>
      <c r="I41" s="4">
        <v>3</v>
      </c>
      <c r="J41" s="4" t="s">
        <v>12</v>
      </c>
      <c r="K41" s="73">
        <f t="shared" si="3"/>
        <v>10</v>
      </c>
      <c r="L41" s="73">
        <f t="shared" si="4"/>
        <v>10</v>
      </c>
      <c r="M41" s="74">
        <f t="shared" si="5"/>
        <v>0</v>
      </c>
      <c r="N41" s="49" t="str">
        <f>IF(O41=""," ",VLOOKUP(O41,'[8]2012 личен състав ОТД'!$A:$AO,2,FALSE))</f>
        <v>гл. ас. д-р Юлиана Чакърова-Бурлакова</v>
      </c>
      <c r="O41" s="48" t="str">
        <f>IF(A41=""," ",VLOOKUP(A41,'Български език и руски език'!A:O,15,FALSE))</f>
        <v>ючакърова</v>
      </c>
      <c r="P41" s="49">
        <f>IF(O41=""," ",VLOOKUP(O41,'[8]2012 личен състав ОТД'!$A:$AO,13,FALSE))</f>
        <v>1964</v>
      </c>
      <c r="Q41" s="49" t="str">
        <f>IF(O41=""," ",VLOOKUP(O41,'[8]2012 личен състав ОТД'!$A:$AO,12,FALSE))</f>
        <v>ОТД</v>
      </c>
      <c r="R41" s="49" t="str">
        <f>IF(A41=""," ",VLOOKUP(A41,'Профилиращ лист'!A:B,2,FALSE))</f>
        <v>СПЕ</v>
      </c>
      <c r="S41" s="3"/>
      <c r="T41" s="3">
        <f t="shared" ca="1" si="15"/>
        <v>49</v>
      </c>
    </row>
    <row r="42" spans="1:28" ht="18" hidden="1" customHeight="1" x14ac:dyDescent="0.25">
      <c r="A42" s="8"/>
      <c r="B42" s="9">
        <f t="shared" ref="B42:I42" si="16">SUM(B34:B41)</f>
        <v>315</v>
      </c>
      <c r="C42" s="9">
        <f t="shared" si="16"/>
        <v>177.5</v>
      </c>
      <c r="D42" s="9">
        <f t="shared" si="16"/>
        <v>100</v>
      </c>
      <c r="E42" s="9">
        <f t="shared" si="16"/>
        <v>30</v>
      </c>
      <c r="F42" s="9">
        <f t="shared" si="16"/>
        <v>47.5</v>
      </c>
      <c r="G42" s="9">
        <f t="shared" si="16"/>
        <v>722.5</v>
      </c>
      <c r="H42" s="9">
        <f t="shared" si="16"/>
        <v>900</v>
      </c>
      <c r="I42" s="9">
        <f t="shared" si="16"/>
        <v>30</v>
      </c>
      <c r="J42" s="6"/>
      <c r="K42" s="73">
        <f t="shared" si="3"/>
        <v>0</v>
      </c>
      <c r="L42" s="73">
        <f t="shared" si="4"/>
        <v>0</v>
      </c>
      <c r="M42" s="74">
        <f t="shared" si="5"/>
        <v>0</v>
      </c>
      <c r="N42" s="49" t="e">
        <f>IF(O42=""," ",VLOOKUP(O42,'[8]2012 личен състав ОТД'!$A:$AO,2,FALSE))</f>
        <v>#N/A</v>
      </c>
      <c r="O42" s="48" t="str">
        <f>IF(A42=""," ",VLOOKUP(A42,'Български език и история'!A:O,15,FALSE))</f>
        <v xml:space="preserve"> </v>
      </c>
      <c r="P42" s="49" t="e">
        <f>IF(O42=""," ",VLOOKUP(O42,'[8]2012 личен състав ОТД'!$A:$AO,13,FALSE))</f>
        <v>#N/A</v>
      </c>
      <c r="Q42" s="49" t="e">
        <f>IF(O42=""," ",VLOOKUP(O42,'[8]2012 личен състав ОТД'!$A:$AO,12,FALSE))</f>
        <v>#N/A</v>
      </c>
      <c r="R42" s="49" t="str">
        <f>IF(A42=""," ",VLOOKUP(A42,'Профилиращ лист'!A:B,2,FALSE))</f>
        <v xml:space="preserve"> </v>
      </c>
      <c r="S42" s="3"/>
      <c r="T42" s="3" t="e">
        <f t="shared" ca="1" si="15"/>
        <v>#N/A</v>
      </c>
    </row>
    <row r="43" spans="1:28" ht="18" hidden="1" customHeight="1" x14ac:dyDescent="0.25">
      <c r="A43" s="1" t="s">
        <v>81</v>
      </c>
      <c r="B43" s="1" t="s">
        <v>1</v>
      </c>
      <c r="C43" s="2" t="s">
        <v>2</v>
      </c>
      <c r="D43" s="2" t="s">
        <v>3</v>
      </c>
      <c r="E43" s="2" t="s">
        <v>4</v>
      </c>
      <c r="F43" s="2" t="s">
        <v>5</v>
      </c>
      <c r="G43" s="2" t="s">
        <v>6</v>
      </c>
      <c r="H43" s="2" t="s">
        <v>7</v>
      </c>
      <c r="I43" s="2" t="s">
        <v>8</v>
      </c>
      <c r="J43" s="2" t="s">
        <v>9</v>
      </c>
      <c r="K43" s="73">
        <f t="shared" si="3"/>
        <v>0</v>
      </c>
      <c r="L43" s="73">
        <f t="shared" si="4"/>
        <v>0</v>
      </c>
      <c r="M43" s="74">
        <f t="shared" si="5"/>
        <v>0</v>
      </c>
      <c r="N43" s="49" t="str">
        <f>IF(O43=""," ",VLOOKUP(O43,'[8]2012 личен състав ОТД'!$A:$AO,2,FALSE))</f>
        <v>име, фамилия</v>
      </c>
      <c r="O43" s="48" t="str">
        <f>IF(A43=""," ",VLOOKUP(A43,'Български език и история'!A:O,15,FALSE))</f>
        <v>Код</v>
      </c>
      <c r="P43" s="49" t="str">
        <f>IF(O43=""," ",VLOOKUP(O43,'[8]2012 личен състав ОТД'!$A:$AO,13,FALSE))</f>
        <v>годинанараждане</v>
      </c>
      <c r="Q43" s="49" t="str">
        <f>IF(O43=""," ",VLOOKUP(O43,'[8]2012 личен състав ОТД'!$A:$AO,12,FALSE))</f>
        <v>ТРУД</v>
      </c>
      <c r="R43" s="49" t="str">
        <f>IF(A43=""," ",VLOOKUP(A43,'Профилиращ лист'!A:B,2,FALSE))</f>
        <v>Тип</v>
      </c>
      <c r="S43" s="3"/>
      <c r="T43" s="3" t="e">
        <f t="shared" ca="1" si="15"/>
        <v>#VALUE!</v>
      </c>
      <c r="AB43" s="49" t="s">
        <v>574</v>
      </c>
    </row>
    <row r="44" spans="1:28" ht="14.1" hidden="1" customHeight="1" x14ac:dyDescent="0.25">
      <c r="A44" s="1" t="s">
        <v>46</v>
      </c>
      <c r="B44" s="1"/>
      <c r="C44" s="4"/>
      <c r="D44" s="4"/>
      <c r="E44" s="4"/>
      <c r="F44" s="4"/>
      <c r="G44" s="4"/>
      <c r="H44" s="4"/>
      <c r="I44" s="5"/>
      <c r="J44" s="6"/>
      <c r="K44" s="73">
        <f t="shared" si="3"/>
        <v>0</v>
      </c>
      <c r="L44" s="73">
        <f t="shared" si="4"/>
        <v>0</v>
      </c>
      <c r="M44" s="74">
        <f t="shared" si="5"/>
        <v>0</v>
      </c>
      <c r="N44" s="49" t="str">
        <f>IF(O44=""," ",VLOOKUP(O44,'[8]2012 личен състав ОТД'!$A:$AO,2,FALSE))</f>
        <v xml:space="preserve">   </v>
      </c>
      <c r="O44" s="48">
        <f>IF(A44=""," ",VLOOKUP(A44,'Български език и история'!A:O,15,FALSE))</f>
        <v>0</v>
      </c>
      <c r="P44" s="49">
        <f>IF(O44=""," ",VLOOKUP(O44,'[8]2012 личен състав ОТД'!$A:$AO,13,FALSE))</f>
        <v>0</v>
      </c>
      <c r="Q44" s="49">
        <f>IF(O44=""," ",VLOOKUP(O44,'[8]2012 личен състав ОТД'!$A:$AO,12,FALSE))</f>
        <v>0</v>
      </c>
      <c r="R44" s="49" t="e">
        <f>IF(A44=""," ",VLOOKUP(A44,'Профилиращ лист'!A:B,2,FALSE))</f>
        <v>#N/A</v>
      </c>
      <c r="S44" s="3"/>
      <c r="T44" s="3">
        <f t="shared" ca="1" si="15"/>
        <v>2013</v>
      </c>
    </row>
    <row r="45" spans="1:28" x14ac:dyDescent="0.25">
      <c r="A45" s="67" t="s">
        <v>39</v>
      </c>
      <c r="B45" s="4">
        <v>30</v>
      </c>
      <c r="C45" s="4">
        <v>25</v>
      </c>
      <c r="D45" s="4">
        <f>'Български език и руски език'!D46/2</f>
        <v>15</v>
      </c>
      <c r="E45" s="4">
        <v>10</v>
      </c>
      <c r="F45" s="4">
        <f>C45-D45-E45</f>
        <v>0</v>
      </c>
      <c r="G45" s="4">
        <f>H45-C45</f>
        <v>65</v>
      </c>
      <c r="H45" s="4">
        <v>90</v>
      </c>
      <c r="I45" s="4">
        <v>3</v>
      </c>
      <c r="J45" s="4" t="s">
        <v>12</v>
      </c>
      <c r="K45" s="73">
        <f t="shared" si="3"/>
        <v>50</v>
      </c>
      <c r="L45" s="73">
        <f t="shared" si="4"/>
        <v>30</v>
      </c>
      <c r="M45" s="74">
        <f t="shared" si="5"/>
        <v>20</v>
      </c>
      <c r="N45" s="49" t="str">
        <f>IF(O45=""," ",VLOOKUP(O45,'[8]2012 личен състав ОТД'!$A:$AO,2,FALSE))</f>
        <v>проф. дфн Клео Протохристова</v>
      </c>
      <c r="O45" s="48" t="s">
        <v>490</v>
      </c>
      <c r="P45" s="49">
        <f>IF(O45=""," ",VLOOKUP(O45,'[8]2012 личен състав ОТД'!$A:$AO,13,FALSE))</f>
        <v>1950</v>
      </c>
      <c r="Q45" s="49" t="str">
        <f>IF(O45=""," ",VLOOKUP(O45,'[8]2012 личен състав ОТД'!$A:$AO,12,FALSE))</f>
        <v>ОТД</v>
      </c>
      <c r="R45" s="49" t="str">
        <f>IF(A45=""," ",VLOOKUP(A45,'Профилиращ лист'!A:B,2,FALSE))</f>
        <v>СПЕ</v>
      </c>
      <c r="S45" s="3"/>
      <c r="T45" s="3">
        <f t="shared" ca="1" si="15"/>
        <v>63</v>
      </c>
    </row>
    <row r="46" spans="1:28" ht="14.1" hidden="1" customHeight="1" x14ac:dyDescent="0.25">
      <c r="A46" s="8" t="s">
        <v>47</v>
      </c>
      <c r="B46" s="4">
        <v>30</v>
      </c>
      <c r="C46" s="4">
        <f>'Български език и руски език'!C47/2</f>
        <v>15</v>
      </c>
      <c r="D46" s="4">
        <f>'Български език и руски език'!D47/2</f>
        <v>15</v>
      </c>
      <c r="E46" s="4">
        <f>'Български език и руски език'!E47</f>
        <v>0</v>
      </c>
      <c r="F46" s="4">
        <f t="shared" ref="F46:F53" si="17">C46-D46-E46</f>
        <v>0</v>
      </c>
      <c r="G46" s="4">
        <f t="shared" ref="G46:G53" si="18">H46-C46</f>
        <v>75</v>
      </c>
      <c r="H46" s="4">
        <v>90</v>
      </c>
      <c r="I46" s="4">
        <v>3</v>
      </c>
      <c r="J46" s="4" t="s">
        <v>14</v>
      </c>
      <c r="K46" s="73">
        <f t="shared" si="3"/>
        <v>45</v>
      </c>
      <c r="L46" s="73">
        <f t="shared" si="4"/>
        <v>30</v>
      </c>
      <c r="M46" s="74">
        <f t="shared" si="5"/>
        <v>15</v>
      </c>
      <c r="N46" s="49" t="str">
        <f>IF(O46=""," ",VLOOKUP(O46,'[8]2012 личен състав ОТД'!$A:$AO,2,FALSE))</f>
        <v xml:space="preserve">   </v>
      </c>
      <c r="O46" s="48">
        <f>IF(A46=""," ",VLOOKUP(A46,'Български език и история'!A:O,15,FALSE))</f>
        <v>0</v>
      </c>
      <c r="P46" s="49">
        <f>IF(O46=""," ",VLOOKUP(O46,'[8]2012 личен състав ОТД'!$A:$AO,13,FALSE))</f>
        <v>0</v>
      </c>
      <c r="Q46" s="49">
        <f>IF(O46=""," ",VLOOKUP(O46,'[8]2012 личен състав ОТД'!$A:$AO,12,FALSE))</f>
        <v>0</v>
      </c>
      <c r="R46" s="49" t="str">
        <f>IF(A46=""," ",VLOOKUP(A46,'Профилиращ лист'!A:B,2,FALSE))</f>
        <v>СПЕ</v>
      </c>
      <c r="S46" s="3" t="s">
        <v>5</v>
      </c>
      <c r="T46" s="3">
        <f t="shared" ca="1" si="15"/>
        <v>2013</v>
      </c>
    </row>
    <row r="47" spans="1:28" ht="14.1" hidden="1" customHeight="1" x14ac:dyDescent="0.25">
      <c r="A47" s="8" t="s">
        <v>49</v>
      </c>
      <c r="B47" s="4">
        <v>45</v>
      </c>
      <c r="C47" s="4">
        <f>'Български език и руски език'!C48/2</f>
        <v>15</v>
      </c>
      <c r="D47" s="4">
        <f>'Български език и руски език'!D48/2</f>
        <v>15</v>
      </c>
      <c r="E47" s="4">
        <f>'Български език и руски език'!E48</f>
        <v>0</v>
      </c>
      <c r="F47" s="4">
        <f t="shared" si="17"/>
        <v>0</v>
      </c>
      <c r="G47" s="4">
        <f t="shared" si="18"/>
        <v>75</v>
      </c>
      <c r="H47" s="4">
        <v>90</v>
      </c>
      <c r="I47" s="4">
        <v>3</v>
      </c>
      <c r="J47" s="4" t="s">
        <v>14</v>
      </c>
      <c r="K47" s="73">
        <f t="shared" si="3"/>
        <v>40</v>
      </c>
      <c r="L47" s="73">
        <f t="shared" si="4"/>
        <v>30</v>
      </c>
      <c r="M47" s="74">
        <f t="shared" si="5"/>
        <v>10</v>
      </c>
      <c r="N47" s="49" t="str">
        <f>IF(O47=""," ",VLOOKUP(O47,'[8]2012 личен състав ОТД'!$A:$AO,2,FALSE))</f>
        <v xml:space="preserve">   </v>
      </c>
      <c r="O47" s="48">
        <f>IF(A47=""," ",VLOOKUP(A47,'Български език и история'!A:O,15,FALSE))</f>
        <v>0</v>
      </c>
      <c r="P47" s="49">
        <f>IF(O47=""," ",VLOOKUP(O47,'[8]2012 личен състав ОТД'!$A:$AO,13,FALSE))</f>
        <v>0</v>
      </c>
      <c r="Q47" s="49">
        <f>IF(O47=""," ",VLOOKUP(O47,'[8]2012 личен състав ОТД'!$A:$AO,12,FALSE))</f>
        <v>0</v>
      </c>
      <c r="R47" s="49" t="str">
        <f>IF(A47=""," ",VLOOKUP(A47,'Профилиращ лист'!A:B,2,FALSE))</f>
        <v>ОФД</v>
      </c>
      <c r="S47" s="3"/>
      <c r="T47" s="3">
        <f t="shared" ca="1" si="15"/>
        <v>2013</v>
      </c>
    </row>
    <row r="48" spans="1:28" ht="14.1" hidden="1" customHeight="1" x14ac:dyDescent="0.25">
      <c r="A48" s="8" t="s">
        <v>116</v>
      </c>
      <c r="B48" s="4">
        <v>90</v>
      </c>
      <c r="C48" s="4">
        <v>55</v>
      </c>
      <c r="D48" s="4">
        <f>'Български език и руски език'!D49/2</f>
        <v>0</v>
      </c>
      <c r="E48" s="4">
        <f>'Български език и руски език'!E49</f>
        <v>0</v>
      </c>
      <c r="F48" s="4">
        <f t="shared" si="17"/>
        <v>55</v>
      </c>
      <c r="G48" s="4">
        <f t="shared" si="18"/>
        <v>155</v>
      </c>
      <c r="H48" s="4">
        <v>210</v>
      </c>
      <c r="I48" s="4">
        <v>7</v>
      </c>
      <c r="J48" s="4" t="s">
        <v>14</v>
      </c>
      <c r="K48" s="73">
        <f t="shared" si="3"/>
        <v>330</v>
      </c>
      <c r="L48" s="73">
        <f t="shared" si="4"/>
        <v>0</v>
      </c>
      <c r="M48" s="74">
        <f t="shared" si="5"/>
        <v>330</v>
      </c>
      <c r="N48" s="49" t="e">
        <f>IF(O48=""," ",VLOOKUP(O48,'[8]2012 личен състав ОТД'!$A:$AO,2,FALSE))</f>
        <v>#N/A</v>
      </c>
      <c r="O48" s="48" t="e">
        <f>IF(A48=""," ",VLOOKUP(A48,'Български език и история'!A:O,15,FALSE))</f>
        <v>#N/A</v>
      </c>
      <c r="P48" s="49" t="e">
        <f>IF(O48=""," ",VLOOKUP(O48,'[8]2012 личен състав ОТД'!$A:$AO,13,FALSE))</f>
        <v>#N/A</v>
      </c>
      <c r="Q48" s="49" t="e">
        <f>IF(O48=""," ",VLOOKUP(O48,'[8]2012 личен състав ОТД'!$A:$AO,12,FALSE))</f>
        <v>#N/A</v>
      </c>
      <c r="R48" s="49" t="str">
        <f>IF(A48=""," ",VLOOKUP(A48,'Профилиращ лист'!A:B,2,FALSE))</f>
        <v>ПРА</v>
      </c>
      <c r="S48" s="3"/>
      <c r="T48" s="3" t="e">
        <f t="shared" ca="1" si="15"/>
        <v>#N/A</v>
      </c>
    </row>
    <row r="49" spans="1:20" ht="14.1" hidden="1" customHeight="1" x14ac:dyDescent="0.25">
      <c r="A49" s="8" t="s">
        <v>128</v>
      </c>
      <c r="B49" s="8">
        <v>30</v>
      </c>
      <c r="C49" s="4">
        <v>25</v>
      </c>
      <c r="D49" s="4">
        <f>'Български език и руски език'!D50/2</f>
        <v>15</v>
      </c>
      <c r="E49" s="4">
        <v>10</v>
      </c>
      <c r="F49" s="4">
        <f t="shared" si="17"/>
        <v>0</v>
      </c>
      <c r="G49" s="4">
        <f t="shared" si="18"/>
        <v>95</v>
      </c>
      <c r="H49" s="4">
        <v>120</v>
      </c>
      <c r="I49" s="4">
        <v>4</v>
      </c>
      <c r="J49" s="4" t="s">
        <v>14</v>
      </c>
      <c r="K49" s="73">
        <f t="shared" si="3"/>
        <v>40</v>
      </c>
      <c r="L49" s="73">
        <f t="shared" si="4"/>
        <v>25</v>
      </c>
      <c r="M49" s="74">
        <f t="shared" si="5"/>
        <v>15</v>
      </c>
      <c r="N49" s="49" t="e">
        <f>IF(O49=""," ",VLOOKUP(O49,'[8]2012 личен състав ОТД'!$A:$AO,2,FALSE))</f>
        <v>#N/A</v>
      </c>
      <c r="O49" s="48" t="e">
        <f>IF(A49=""," ",VLOOKUP(A49,'Български език и история'!A:O,15,FALSE))</f>
        <v>#N/A</v>
      </c>
      <c r="P49" s="49" t="e">
        <f>IF(O49=""," ",VLOOKUP(O49,'[8]2012 личен състав ОТД'!$A:$AO,13,FALSE))</f>
        <v>#N/A</v>
      </c>
      <c r="Q49" s="49" t="e">
        <f>IF(O49=""," ",VLOOKUP(O49,'[8]2012 личен състав ОТД'!$A:$AO,12,FALSE))</f>
        <v>#N/A</v>
      </c>
      <c r="R49" s="49" t="str">
        <f>IF(A49=""," ",VLOOKUP(A49,'Профилиращ лист'!A:B,2,FALSE))</f>
        <v>ОФД</v>
      </c>
      <c r="S49" s="3"/>
      <c r="T49" s="3" t="e">
        <f t="shared" ca="1" si="15"/>
        <v>#N/A</v>
      </c>
    </row>
    <row r="50" spans="1:20" ht="14.1" hidden="1" customHeight="1" x14ac:dyDescent="0.25">
      <c r="A50" s="8" t="s">
        <v>129</v>
      </c>
      <c r="B50" s="8">
        <v>30</v>
      </c>
      <c r="C50" s="4">
        <f>'Български език и руски език'!C51/2</f>
        <v>15</v>
      </c>
      <c r="D50" s="4">
        <f>'Български език и руски език'!D51/2</f>
        <v>15</v>
      </c>
      <c r="E50" s="4">
        <f>'Български език и руски език'!E51</f>
        <v>0</v>
      </c>
      <c r="F50" s="4">
        <f t="shared" si="17"/>
        <v>0</v>
      </c>
      <c r="G50" s="4">
        <f t="shared" si="18"/>
        <v>45</v>
      </c>
      <c r="H50" s="4">
        <v>60</v>
      </c>
      <c r="I50" s="4">
        <v>2</v>
      </c>
      <c r="J50" s="4" t="s">
        <v>14</v>
      </c>
      <c r="K50" s="73">
        <f t="shared" si="3"/>
        <v>30</v>
      </c>
      <c r="L50" s="73">
        <f t="shared" si="4"/>
        <v>30</v>
      </c>
      <c r="M50" s="74">
        <f t="shared" si="5"/>
        <v>0</v>
      </c>
      <c r="N50" s="49" t="e">
        <f>IF(O50=""," ",VLOOKUP(O50,'[8]2012 личен състав ОТД'!$A:$AO,2,FALSE))</f>
        <v>#N/A</v>
      </c>
      <c r="O50" s="48" t="e">
        <f>IF(A50=""," ",VLOOKUP(A50,'Български език и история'!A:O,15,FALSE))</f>
        <v>#N/A</v>
      </c>
      <c r="P50" s="49" t="e">
        <f>IF(O50=""," ",VLOOKUP(O50,'[8]2012 личен състав ОТД'!$A:$AO,13,FALSE))</f>
        <v>#N/A</v>
      </c>
      <c r="Q50" s="49" t="e">
        <f>IF(O50=""," ",VLOOKUP(O50,'[8]2012 личен състав ОТД'!$A:$AO,12,FALSE))</f>
        <v>#N/A</v>
      </c>
      <c r="R50" s="49" t="str">
        <f>IF(A50=""," ",VLOOKUP(A50,'Профилиращ лист'!A:B,2,FALSE))</f>
        <v>ОФД</v>
      </c>
      <c r="S50" s="3"/>
      <c r="T50" s="3" t="e">
        <f t="shared" ca="1" si="15"/>
        <v>#N/A</v>
      </c>
    </row>
    <row r="51" spans="1:20" x14ac:dyDescent="0.25">
      <c r="A51" s="67" t="s">
        <v>44</v>
      </c>
      <c r="B51" s="4">
        <v>45</v>
      </c>
      <c r="C51" s="4">
        <v>25</v>
      </c>
      <c r="D51" s="4">
        <f>'Български език и руски език'!D52/2</f>
        <v>15</v>
      </c>
      <c r="E51" s="4">
        <v>10</v>
      </c>
      <c r="F51" s="4">
        <f t="shared" si="17"/>
        <v>0</v>
      </c>
      <c r="G51" s="4">
        <f t="shared" si="18"/>
        <v>65</v>
      </c>
      <c r="H51" s="4">
        <v>90</v>
      </c>
      <c r="I51" s="4">
        <v>3</v>
      </c>
      <c r="J51" s="4" t="s">
        <v>12</v>
      </c>
      <c r="K51" s="73">
        <f t="shared" si="3"/>
        <v>50</v>
      </c>
      <c r="L51" s="73">
        <f t="shared" si="4"/>
        <v>30</v>
      </c>
      <c r="M51" s="74">
        <f t="shared" si="5"/>
        <v>20</v>
      </c>
      <c r="N51" s="49" t="str">
        <f>IF(O51=""," ",VLOOKUP(O51,'[8]2012 личен състав ОТД'!$A:$AO,2,FALSE))</f>
        <v>доц. дфн Вера Маровска</v>
      </c>
      <c r="O51" s="48" t="s">
        <v>473</v>
      </c>
      <c r="P51" s="49">
        <f>IF(O51=""," ",VLOOKUP(O51,'[8]2012 личен състав ОТД'!$A:$AO,13,FALSE))</f>
        <v>1954</v>
      </c>
      <c r="Q51" s="49" t="str">
        <f>IF(O51=""," ",VLOOKUP(O51,'[8]2012 личен състав ОТД'!$A:$AO,12,FALSE))</f>
        <v>ОТД</v>
      </c>
      <c r="R51" s="49" t="str">
        <f>IF(A51=""," ",VLOOKUP(A51,'Профилиращ лист'!A:B,2,FALSE))</f>
        <v>СПЕ</v>
      </c>
      <c r="S51" s="3"/>
      <c r="T51" s="3">
        <f t="shared" ca="1" si="15"/>
        <v>59</v>
      </c>
    </row>
    <row r="52" spans="1:20" ht="14.1" hidden="1" customHeight="1" x14ac:dyDescent="0.25">
      <c r="A52" s="8" t="s">
        <v>55</v>
      </c>
      <c r="B52" s="4">
        <v>30</v>
      </c>
      <c r="C52" s="4">
        <f>'Български език и руски език'!C53/2</f>
        <v>15</v>
      </c>
      <c r="D52" s="4">
        <f>'Български език и руски език'!D53/2</f>
        <v>0</v>
      </c>
      <c r="E52" s="4">
        <f>'Български език и руски език'!E53</f>
        <v>0</v>
      </c>
      <c r="F52" s="4">
        <f t="shared" si="17"/>
        <v>15</v>
      </c>
      <c r="G52" s="4">
        <f t="shared" si="18"/>
        <v>45</v>
      </c>
      <c r="H52" s="4">
        <v>60</v>
      </c>
      <c r="I52" s="4">
        <v>2</v>
      </c>
      <c r="J52" s="4" t="s">
        <v>18</v>
      </c>
      <c r="K52" s="73">
        <f t="shared" si="3"/>
        <v>15</v>
      </c>
      <c r="L52" s="73">
        <f t="shared" si="4"/>
        <v>0</v>
      </c>
      <c r="M52" s="74">
        <f t="shared" si="5"/>
        <v>15</v>
      </c>
      <c r="N52" s="49" t="str">
        <f>IF(O52=""," ",VLOOKUP(O52,'[8]2012 личен състав ОТД'!$A:$AO,2,FALSE))</f>
        <v xml:space="preserve">   </v>
      </c>
      <c r="O52" s="48">
        <f>IF(A52=""," ",VLOOKUP(A52,'Български език и история'!A:O,15,FALSE))</f>
        <v>0</v>
      </c>
      <c r="P52" s="49">
        <f>IF(O52=""," ",VLOOKUP(O52,'[8]2012 личен състав ОТД'!$A:$AO,13,FALSE))</f>
        <v>0</v>
      </c>
      <c r="Q52" s="49">
        <f>IF(O52=""," ",VLOOKUP(O52,'[8]2012 личен състав ОТД'!$A:$AO,12,FALSE))</f>
        <v>0</v>
      </c>
      <c r="R52" s="49" t="str">
        <f>IF(A52=""," ",VLOOKUP(A52,'Профилиращ лист'!A:B,2,FALSE))</f>
        <v>ФД</v>
      </c>
      <c r="S52" s="3" t="s">
        <v>5</v>
      </c>
      <c r="T52" s="3">
        <f t="shared" ca="1" si="15"/>
        <v>2013</v>
      </c>
    </row>
    <row r="53" spans="1:20" x14ac:dyDescent="0.25">
      <c r="A53" s="67" t="s">
        <v>126</v>
      </c>
      <c r="B53" s="4">
        <v>30</v>
      </c>
      <c r="C53" s="4">
        <f>'Български език и руски език'!C54/2</f>
        <v>15</v>
      </c>
      <c r="D53" s="4">
        <v>10</v>
      </c>
      <c r="E53" s="4">
        <v>5</v>
      </c>
      <c r="F53" s="4">
        <f t="shared" si="17"/>
        <v>0</v>
      </c>
      <c r="G53" s="4">
        <f t="shared" si="18"/>
        <v>75</v>
      </c>
      <c r="H53" s="4">
        <v>90</v>
      </c>
      <c r="I53" s="4">
        <v>3</v>
      </c>
      <c r="J53" s="4" t="s">
        <v>12</v>
      </c>
      <c r="K53" s="73">
        <f t="shared" si="3"/>
        <v>30</v>
      </c>
      <c r="L53" s="73">
        <f t="shared" si="4"/>
        <v>20</v>
      </c>
      <c r="M53" s="74">
        <f t="shared" si="5"/>
        <v>10</v>
      </c>
      <c r="N53" s="49" t="str">
        <f>IF(O53=""," ",VLOOKUP(O53,'[8]2012 личен състав ОТД'!$A:$AO,2,FALSE))</f>
        <v>проф. д-р Стефка Георгиева</v>
      </c>
      <c r="O53" s="48" t="s">
        <v>497</v>
      </c>
      <c r="P53" s="49">
        <f>IF(O53=""," ",VLOOKUP(O53,'[8]2012 личен състав ОТД'!$A:$AO,13,FALSE))</f>
        <v>1945</v>
      </c>
      <c r="Q53" s="49" t="str">
        <f>IF(O53=""," ",VLOOKUP(O53,'[8]2012 личен състав ОТД'!$A:$AO,12,FALSE))</f>
        <v>ОТД</v>
      </c>
      <c r="R53" s="49" t="str">
        <f>IF(A53=""," ",VLOOKUP(A53,'Профилиращ лист'!A:B,2,FALSE))</f>
        <v>СПЕ</v>
      </c>
      <c r="S53" s="3"/>
      <c r="T53" s="3">
        <f t="shared" ca="1" si="15"/>
        <v>68</v>
      </c>
    </row>
    <row r="54" spans="1:20" ht="14.1" hidden="1" customHeight="1" x14ac:dyDescent="0.25">
      <c r="A54" s="8"/>
      <c r="B54" s="9">
        <f t="shared" ref="B54:I54" si="19">SUM(B45:B53)</f>
        <v>360</v>
      </c>
      <c r="C54" s="9">
        <f t="shared" si="19"/>
        <v>205</v>
      </c>
      <c r="D54" s="9">
        <f t="shared" si="19"/>
        <v>100</v>
      </c>
      <c r="E54" s="9">
        <f t="shared" si="19"/>
        <v>35</v>
      </c>
      <c r="F54" s="9">
        <f t="shared" si="19"/>
        <v>70</v>
      </c>
      <c r="G54" s="9">
        <f t="shared" si="19"/>
        <v>695</v>
      </c>
      <c r="H54" s="9">
        <f t="shared" si="19"/>
        <v>900</v>
      </c>
      <c r="I54" s="9">
        <f t="shared" si="19"/>
        <v>30</v>
      </c>
      <c r="J54" s="6"/>
      <c r="K54" s="73">
        <f t="shared" si="3"/>
        <v>0</v>
      </c>
      <c r="L54" s="73">
        <f t="shared" si="4"/>
        <v>0</v>
      </c>
      <c r="M54" s="74">
        <f t="shared" si="5"/>
        <v>0</v>
      </c>
      <c r="N54" s="49" t="e">
        <f>IF(O54=""," ",VLOOKUP(O54,'[8]2012 личен състав ОТД'!$A:$AO,2,FALSE))</f>
        <v>#N/A</v>
      </c>
      <c r="O54" s="48" t="str">
        <f>IF(A54=""," ",VLOOKUP(A54,'Български език и история'!A:O,15,FALSE))</f>
        <v xml:space="preserve"> </v>
      </c>
      <c r="P54" s="49" t="e">
        <f>IF(O54=""," ",VLOOKUP(O54,'[8]2012 личен състав ОТД'!$A:$AO,13,FALSE))</f>
        <v>#N/A</v>
      </c>
      <c r="Q54" s="49" t="e">
        <f>IF(O54=""," ",VLOOKUP(O54,'[8]2012 личен състав ОТД'!$A:$AO,12,FALSE))</f>
        <v>#N/A</v>
      </c>
      <c r="R54" s="49" t="str">
        <f>IF(A54=""," ",VLOOKUP(A54,'Профилиращ лист'!A:B,2,FALSE))</f>
        <v xml:space="preserve"> </v>
      </c>
      <c r="S54" s="3" t="s">
        <v>5</v>
      </c>
      <c r="T54" s="3" t="e">
        <f t="shared" ca="1" si="15"/>
        <v>#N/A</v>
      </c>
    </row>
    <row r="55" spans="1:20" ht="14.1" hidden="1" customHeight="1" x14ac:dyDescent="0.25">
      <c r="A55" s="1" t="s">
        <v>51</v>
      </c>
      <c r="B55" s="1"/>
      <c r="C55" s="4"/>
      <c r="D55" s="4"/>
      <c r="E55" s="4"/>
      <c r="F55" s="4"/>
      <c r="G55" s="4"/>
      <c r="H55" s="4"/>
      <c r="I55" s="5"/>
      <c r="J55" s="6"/>
      <c r="K55" s="73">
        <f t="shared" si="3"/>
        <v>0</v>
      </c>
      <c r="L55" s="73">
        <f t="shared" si="4"/>
        <v>0</v>
      </c>
      <c r="M55" s="74">
        <f t="shared" si="5"/>
        <v>0</v>
      </c>
      <c r="N55" s="49" t="str">
        <f>IF(O55=""," ",VLOOKUP(O55,'[8]2012 личен състав ОТД'!$A:$AO,2,FALSE))</f>
        <v xml:space="preserve">   </v>
      </c>
      <c r="O55" s="48">
        <f>IF(A55=""," ",VLOOKUP(A55,'Български език и история'!A:O,15,FALSE))</f>
        <v>0</v>
      </c>
      <c r="P55" s="49">
        <f>IF(O55=""," ",VLOOKUP(O55,'[8]2012 личен състав ОТД'!$A:$AO,13,FALSE))</f>
        <v>0</v>
      </c>
      <c r="Q55" s="49">
        <f>IF(O55=""," ",VLOOKUP(O55,'[8]2012 личен състав ОТД'!$A:$AO,12,FALSE))</f>
        <v>0</v>
      </c>
      <c r="R55" s="49" t="e">
        <f>IF(A55=""," ",VLOOKUP(A55,'Профилиращ лист'!A:B,2,FALSE))</f>
        <v>#N/A</v>
      </c>
      <c r="S55" s="3"/>
      <c r="T55" s="3">
        <f t="shared" ca="1" si="15"/>
        <v>2013</v>
      </c>
    </row>
    <row r="56" spans="1:20" x14ac:dyDescent="0.25">
      <c r="A56" s="67" t="s">
        <v>47</v>
      </c>
      <c r="B56" s="4">
        <v>45</v>
      </c>
      <c r="C56" s="4">
        <f>'Български език и руски език'!C57/2</f>
        <v>30</v>
      </c>
      <c r="D56" s="4">
        <f>'Български език и руски език'!D57/2</f>
        <v>15</v>
      </c>
      <c r="E56" s="4">
        <f>'Български език и руски език'!E57/2</f>
        <v>15</v>
      </c>
      <c r="F56" s="4">
        <f t="shared" ref="F56:F65" si="20">C56-D56-E56</f>
        <v>0</v>
      </c>
      <c r="G56" s="4">
        <f t="shared" ref="G56:G65" si="21">H56-C56</f>
        <v>90</v>
      </c>
      <c r="H56" s="4">
        <v>120</v>
      </c>
      <c r="I56" s="4">
        <v>4</v>
      </c>
      <c r="J56" s="4" t="s">
        <v>12</v>
      </c>
      <c r="K56" s="73">
        <f t="shared" si="3"/>
        <v>45</v>
      </c>
      <c r="L56" s="73">
        <f t="shared" si="4"/>
        <v>30</v>
      </c>
      <c r="M56" s="74">
        <f t="shared" si="5"/>
        <v>15</v>
      </c>
      <c r="N56" s="49" t="str">
        <f>IF(O56=""," ",VLOOKUP(O56,'[8]2012 личен състав ОТД'!$A:$AO,2,FALSE))</f>
        <v>доц. д-р Иван Русков</v>
      </c>
      <c r="O56" s="48" t="s">
        <v>492</v>
      </c>
      <c r="P56" s="49">
        <f>IF(O56=""," ",VLOOKUP(O56,'[8]2012 личен състав ОТД'!$A:$AO,13,FALSE))</f>
        <v>1960</v>
      </c>
      <c r="Q56" s="49" t="str">
        <f>IF(O56=""," ",VLOOKUP(O56,'[8]2012 личен състав ОТД'!$A:$AO,12,FALSE))</f>
        <v>ОТД</v>
      </c>
      <c r="R56" s="49" t="str">
        <f>IF(A56=""," ",VLOOKUP(A56,'Профилиращ лист'!A:B,2,FALSE))</f>
        <v>СПЕ</v>
      </c>
      <c r="S56" s="3"/>
      <c r="T56" s="3">
        <f t="shared" ca="1" si="15"/>
        <v>53</v>
      </c>
    </row>
    <row r="57" spans="1:20" x14ac:dyDescent="0.25">
      <c r="A57" s="67" t="s">
        <v>49</v>
      </c>
      <c r="B57" s="4">
        <v>45</v>
      </c>
      <c r="C57" s="4">
        <v>25</v>
      </c>
      <c r="D57" s="4">
        <f>'Български език и руски език'!D58/2</f>
        <v>15</v>
      </c>
      <c r="E57" s="4">
        <v>10</v>
      </c>
      <c r="F57" s="4">
        <f t="shared" si="20"/>
        <v>0</v>
      </c>
      <c r="G57" s="4">
        <f t="shared" si="21"/>
        <v>95</v>
      </c>
      <c r="H57" s="4">
        <v>120</v>
      </c>
      <c r="I57" s="4">
        <v>4</v>
      </c>
      <c r="J57" s="4" t="s">
        <v>12</v>
      </c>
      <c r="K57" s="73">
        <f t="shared" si="3"/>
        <v>40</v>
      </c>
      <c r="L57" s="73">
        <f t="shared" si="4"/>
        <v>30</v>
      </c>
      <c r="M57" s="74">
        <f t="shared" si="5"/>
        <v>10</v>
      </c>
      <c r="N57" s="49" t="str">
        <f>IF(O57=""," ",VLOOKUP(O57,'[8]2012 личен състав ОТД'!$A:$AO,2,FALSE))</f>
        <v>доц. д-р Христина Тончева</v>
      </c>
      <c r="O57" s="48" t="s">
        <v>461</v>
      </c>
      <c r="P57" s="49">
        <f>IF(O57=""," ",VLOOKUP(O57,'[8]2012 личен състав ОТД'!$A:$AO,13,FALSE))</f>
        <v>1968</v>
      </c>
      <c r="Q57" s="49" t="str">
        <f>IF(O57=""," ",VLOOKUP(O57,'[8]2012 личен състав ОТД'!$A:$AO,12,FALSE))</f>
        <v>ОТД</v>
      </c>
      <c r="R57" s="49" t="str">
        <f>IF(A57=""," ",VLOOKUP(A57,'Профилиращ лист'!A:B,2,FALSE))</f>
        <v>ОФД</v>
      </c>
      <c r="S57" s="3" t="s">
        <v>5</v>
      </c>
      <c r="T57" s="3">
        <f t="shared" ca="1" si="15"/>
        <v>45</v>
      </c>
    </row>
    <row r="58" spans="1:20" x14ac:dyDescent="0.25">
      <c r="A58" s="67" t="s">
        <v>130</v>
      </c>
      <c r="B58" s="4">
        <v>30</v>
      </c>
      <c r="C58" s="4">
        <f>'Български език и руски език'!C59/2</f>
        <v>15</v>
      </c>
      <c r="D58" s="4">
        <v>15</v>
      </c>
      <c r="E58" s="4">
        <v>0</v>
      </c>
      <c r="F58" s="4">
        <f t="shared" si="20"/>
        <v>0</v>
      </c>
      <c r="G58" s="4">
        <f t="shared" si="21"/>
        <v>75</v>
      </c>
      <c r="H58" s="4">
        <v>90</v>
      </c>
      <c r="I58" s="4">
        <v>3</v>
      </c>
      <c r="J58" s="4" t="s">
        <v>12</v>
      </c>
      <c r="K58" s="73">
        <f t="shared" si="3"/>
        <v>15</v>
      </c>
      <c r="L58" s="73">
        <f t="shared" si="4"/>
        <v>15</v>
      </c>
      <c r="M58" s="74">
        <f t="shared" si="5"/>
        <v>0</v>
      </c>
      <c r="N58" s="49" t="str">
        <f>IF(O58=""," ",VLOOKUP(O58,'[8]2012 личен състав ОТД'!$A:$AO,2,FALSE))</f>
        <v>гл. ас. д-р Людмила Минкова</v>
      </c>
      <c r="O58" s="48" t="s">
        <v>531</v>
      </c>
      <c r="P58" s="49">
        <f>IF(O58=""," ",VLOOKUP(O58,'[8]2012 личен състав ОТД'!$A:$AO,13,FALSE))</f>
        <v>1961</v>
      </c>
      <c r="Q58" s="49" t="str">
        <f>IF(O58=""," ",VLOOKUP(O58,'[8]2012 личен състав ОТД'!$A:$AO,12,FALSE))</f>
        <v>ОТД</v>
      </c>
      <c r="R58" s="49" t="s">
        <v>253</v>
      </c>
      <c r="S58" s="3"/>
      <c r="T58" s="3">
        <f t="shared" ca="1" si="15"/>
        <v>52</v>
      </c>
    </row>
    <row r="59" spans="1:20" ht="14.1" hidden="1" customHeight="1" x14ac:dyDescent="0.25">
      <c r="A59" s="8" t="s">
        <v>131</v>
      </c>
      <c r="B59" s="4">
        <v>90</v>
      </c>
      <c r="C59" s="4">
        <v>55</v>
      </c>
      <c r="D59" s="4">
        <f>'Български език и руски език'!D60/2</f>
        <v>0</v>
      </c>
      <c r="E59" s="4">
        <f>'Български език и руски език'!E60/2</f>
        <v>0</v>
      </c>
      <c r="F59" s="4">
        <f t="shared" si="20"/>
        <v>55</v>
      </c>
      <c r="G59" s="4">
        <f t="shared" si="21"/>
        <v>155</v>
      </c>
      <c r="H59" s="4">
        <v>210</v>
      </c>
      <c r="I59" s="4">
        <v>7</v>
      </c>
      <c r="J59" s="4" t="s">
        <v>12</v>
      </c>
      <c r="K59" s="73">
        <f t="shared" si="3"/>
        <v>55</v>
      </c>
      <c r="L59" s="73">
        <f t="shared" si="4"/>
        <v>0</v>
      </c>
      <c r="M59" s="74">
        <f t="shared" si="5"/>
        <v>55</v>
      </c>
      <c r="N59" s="49" t="e">
        <f>IF(O59=""," ",VLOOKUP(O59,'[8]2012 личен състав ОТД'!$A:$AO,2,FALSE))</f>
        <v>#N/A</v>
      </c>
      <c r="O59" s="48" t="e">
        <f>IF(A59=""," ",VLOOKUP(A59,'Български език и история'!A:O,15,FALSE))</f>
        <v>#N/A</v>
      </c>
      <c r="P59" s="49" t="e">
        <f>IF(O59=""," ",VLOOKUP(O59,'[8]2012 личен състав ОТД'!$A:$AO,13,FALSE))</f>
        <v>#N/A</v>
      </c>
      <c r="Q59" s="49" t="e">
        <f>IF(O59=""," ",VLOOKUP(O59,'[8]2012 личен състав ОТД'!$A:$AO,12,FALSE))</f>
        <v>#N/A</v>
      </c>
      <c r="R59" s="49" t="str">
        <f>IF(A59=""," ",VLOOKUP(A59,'Профилиращ лист'!A:B,2,FALSE))</f>
        <v>ПРА</v>
      </c>
      <c r="S59" s="3"/>
      <c r="T59" s="3" t="e">
        <f t="shared" ca="1" si="15"/>
        <v>#N/A</v>
      </c>
    </row>
    <row r="60" spans="1:20" x14ac:dyDescent="0.25">
      <c r="A60" s="67" t="s">
        <v>128</v>
      </c>
      <c r="B60" s="8">
        <v>30</v>
      </c>
      <c r="C60" s="4">
        <f>'Български език и руски език'!C61/2</f>
        <v>15</v>
      </c>
      <c r="D60" s="4">
        <v>10</v>
      </c>
      <c r="E60" s="4">
        <v>5</v>
      </c>
      <c r="F60" s="4">
        <f t="shared" si="20"/>
        <v>0</v>
      </c>
      <c r="G60" s="4">
        <f t="shared" si="21"/>
        <v>45</v>
      </c>
      <c r="H60" s="4">
        <v>60</v>
      </c>
      <c r="I60" s="4">
        <v>2</v>
      </c>
      <c r="J60" s="6" t="s">
        <v>12</v>
      </c>
      <c r="K60" s="73">
        <f t="shared" si="3"/>
        <v>40</v>
      </c>
      <c r="L60" s="73">
        <f t="shared" si="4"/>
        <v>25</v>
      </c>
      <c r="M60" s="74">
        <f t="shared" si="5"/>
        <v>15</v>
      </c>
      <c r="N60" s="49" t="str">
        <f>IF(O60=""," ",VLOOKUP(O60,'[8]2012 личен състав ОТД'!$A:$AO,2,FALSE))</f>
        <v>доц. д-р Николай Нейчев</v>
      </c>
      <c r="O60" s="48" t="s">
        <v>471</v>
      </c>
      <c r="P60" s="49">
        <f>IF(O60=""," ",VLOOKUP(O60,'[8]2012 личен състав ОТД'!$A:$AO,13,FALSE))</f>
        <v>1959</v>
      </c>
      <c r="Q60" s="49" t="str">
        <f>IF(O60=""," ",VLOOKUP(O60,'[8]2012 личен състав ОТД'!$A:$AO,12,FALSE))</f>
        <v>ОТД</v>
      </c>
      <c r="R60" s="49" t="str">
        <f>IF(A60=""," ",VLOOKUP(A60,'Профилиращ лист'!A:B,2,FALSE))</f>
        <v>ОФД</v>
      </c>
      <c r="S60" s="3"/>
      <c r="T60" s="3">
        <f t="shared" ca="1" si="15"/>
        <v>54</v>
      </c>
    </row>
    <row r="61" spans="1:20" x14ac:dyDescent="0.25">
      <c r="A61" s="67" t="s">
        <v>129</v>
      </c>
      <c r="B61" s="8">
        <v>30</v>
      </c>
      <c r="C61" s="4">
        <f>'Български език и руски език'!C62/2</f>
        <v>15</v>
      </c>
      <c r="D61" s="4">
        <f>'Български език и руски език'!D62/2</f>
        <v>15</v>
      </c>
      <c r="E61" s="4">
        <f>'Български език и руски език'!E62/2</f>
        <v>0</v>
      </c>
      <c r="F61" s="4">
        <f t="shared" si="20"/>
        <v>0</v>
      </c>
      <c r="G61" s="4">
        <f t="shared" si="21"/>
        <v>45</v>
      </c>
      <c r="H61" s="4">
        <v>60</v>
      </c>
      <c r="I61" s="4">
        <v>2</v>
      </c>
      <c r="J61" s="6" t="s">
        <v>12</v>
      </c>
      <c r="K61" s="73">
        <f t="shared" si="3"/>
        <v>30</v>
      </c>
      <c r="L61" s="73">
        <f t="shared" si="4"/>
        <v>30</v>
      </c>
      <c r="M61" s="74">
        <f t="shared" si="5"/>
        <v>0</v>
      </c>
      <c r="N61" s="49" t="str">
        <f>IF(O61=""," ",VLOOKUP(O61,'[8]2012 личен състав ОТД'!$A:$AO,2,FALSE))</f>
        <v>проф. дфн Иван Куцаров</v>
      </c>
      <c r="O61" s="48" t="s">
        <v>500</v>
      </c>
      <c r="P61" s="49">
        <f>IF(O61=""," ",VLOOKUP(O61,'[8]2012 личен състав ОТД'!$A:$AO,13,FALSE))</f>
        <v>1942</v>
      </c>
      <c r="Q61" s="49" t="str">
        <f>IF(O61=""," ",VLOOKUP(O61,'[8]2012 личен състав ОТД'!$A:$AO,12,FALSE))</f>
        <v>ОТД</v>
      </c>
      <c r="R61" s="49" t="str">
        <f>IF(A61=""," ",VLOOKUP(A61,'Профилиращ лист'!A:B,2,FALSE))</f>
        <v>ОФД</v>
      </c>
      <c r="S61" s="3"/>
      <c r="T61" s="3">
        <f t="shared" ca="1" si="15"/>
        <v>71</v>
      </c>
    </row>
    <row r="62" spans="1:20" ht="14.1" hidden="1" customHeight="1" x14ac:dyDescent="0.25">
      <c r="A62" s="8" t="s">
        <v>54</v>
      </c>
      <c r="B62" s="4">
        <v>30</v>
      </c>
      <c r="C62" s="4">
        <f>'Български език и руски език'!C63/2</f>
        <v>15</v>
      </c>
      <c r="D62" s="4">
        <f>'Български език и руски език'!D63/2</f>
        <v>15</v>
      </c>
      <c r="E62" s="4">
        <f>'Български език и руски език'!E63/2</f>
        <v>0</v>
      </c>
      <c r="F62" s="4">
        <f t="shared" si="20"/>
        <v>0</v>
      </c>
      <c r="G62" s="4">
        <f t="shared" si="21"/>
        <v>45</v>
      </c>
      <c r="H62" s="4">
        <v>60</v>
      </c>
      <c r="I62" s="4">
        <v>2</v>
      </c>
      <c r="J62" s="4" t="s">
        <v>14</v>
      </c>
      <c r="K62" s="73">
        <f t="shared" si="3"/>
        <v>30</v>
      </c>
      <c r="L62" s="73">
        <f t="shared" si="4"/>
        <v>25</v>
      </c>
      <c r="M62" s="74">
        <f t="shared" si="5"/>
        <v>5</v>
      </c>
      <c r="N62" s="49" t="str">
        <f>IF(O62=""," ",VLOOKUP(O62,'[8]2012 личен състав ОТД'!$A:$AO,2,FALSE))</f>
        <v xml:space="preserve">   </v>
      </c>
      <c r="O62" s="48">
        <f>IF(A62=""," ",VLOOKUP(A62,'Български език и история'!A:O,15,FALSE))</f>
        <v>0</v>
      </c>
      <c r="P62" s="49">
        <f>IF(O62=""," ",VLOOKUP(O62,'[8]2012 личен състав ОТД'!$A:$AO,13,FALSE))</f>
        <v>0</v>
      </c>
      <c r="Q62" s="49">
        <f>IF(O62=""," ",VLOOKUP(O62,'[8]2012 личен състав ОТД'!$A:$AO,12,FALSE))</f>
        <v>0</v>
      </c>
      <c r="R62" s="49" t="str">
        <f>IF(A62=""," ",VLOOKUP(A62,'Профилиращ лист'!A:B,2,FALSE))</f>
        <v>СПЕ</v>
      </c>
      <c r="S62" s="3"/>
      <c r="T62" s="3">
        <f t="shared" ca="1" si="15"/>
        <v>2013</v>
      </c>
    </row>
    <row r="63" spans="1:20" ht="14.1" hidden="1" customHeight="1" x14ac:dyDescent="0.25">
      <c r="A63" s="8" t="s">
        <v>132</v>
      </c>
      <c r="B63" s="4">
        <v>30</v>
      </c>
      <c r="C63" s="4">
        <f>'Български език и руски език'!C64/2</f>
        <v>15</v>
      </c>
      <c r="D63" s="4">
        <v>10</v>
      </c>
      <c r="E63" s="4">
        <v>5</v>
      </c>
      <c r="F63" s="4">
        <f t="shared" si="20"/>
        <v>0</v>
      </c>
      <c r="G63" s="4">
        <f t="shared" si="21"/>
        <v>45</v>
      </c>
      <c r="H63" s="4">
        <v>60</v>
      </c>
      <c r="I63" s="4">
        <v>2</v>
      </c>
      <c r="J63" s="4" t="s">
        <v>14</v>
      </c>
      <c r="K63" s="73">
        <f t="shared" si="3"/>
        <v>30</v>
      </c>
      <c r="L63" s="73">
        <f t="shared" si="4"/>
        <v>20</v>
      </c>
      <c r="M63" s="74">
        <f t="shared" si="5"/>
        <v>10</v>
      </c>
      <c r="N63" s="49" t="e">
        <f>IF(O63=""," ",VLOOKUP(O63,'[8]2012 личен състав ОТД'!$A:$AO,2,FALSE))</f>
        <v>#N/A</v>
      </c>
      <c r="O63" s="48" t="e">
        <f>IF(A63=""," ",VLOOKUP(A63,'Български език и история'!A:O,15,FALSE))</f>
        <v>#N/A</v>
      </c>
      <c r="P63" s="49" t="e">
        <f>IF(O63=""," ",VLOOKUP(O63,'[8]2012 личен състав ОТД'!$A:$AO,13,FALSE))</f>
        <v>#N/A</v>
      </c>
      <c r="Q63" s="49" t="e">
        <f>IF(O63=""," ",VLOOKUP(O63,'[8]2012 личен състав ОТД'!$A:$AO,12,FALSE))</f>
        <v>#N/A</v>
      </c>
      <c r="R63" s="49" t="str">
        <f>IF(A63=""," ",VLOOKUP(A63,'Профилиращ лист'!A:B,2,FALSE))</f>
        <v>ОФД</v>
      </c>
      <c r="S63" s="3"/>
      <c r="T63" s="3" t="e">
        <f t="shared" ca="1" si="15"/>
        <v>#N/A</v>
      </c>
    </row>
    <row r="64" spans="1:20" ht="14.1" hidden="1" customHeight="1" x14ac:dyDescent="0.25">
      <c r="A64" s="8" t="s">
        <v>57</v>
      </c>
      <c r="B64" s="4">
        <v>15</v>
      </c>
      <c r="C64" s="4">
        <f>'Български език и руски език'!C65/2</f>
        <v>15</v>
      </c>
      <c r="D64" s="4">
        <f>'Български език и руски език'!D65/2</f>
        <v>0</v>
      </c>
      <c r="E64" s="4">
        <f>'Български език и руски език'!E65/2</f>
        <v>0</v>
      </c>
      <c r="F64" s="4">
        <f t="shared" si="20"/>
        <v>15</v>
      </c>
      <c r="G64" s="4">
        <f t="shared" si="21"/>
        <v>45</v>
      </c>
      <c r="H64" s="4">
        <v>60</v>
      </c>
      <c r="I64" s="4">
        <v>2</v>
      </c>
      <c r="J64" s="4" t="s">
        <v>18</v>
      </c>
      <c r="K64" s="73">
        <f t="shared" si="3"/>
        <v>15</v>
      </c>
      <c r="L64" s="73">
        <f t="shared" si="4"/>
        <v>0</v>
      </c>
      <c r="M64" s="74">
        <f t="shared" si="5"/>
        <v>15</v>
      </c>
      <c r="N64" s="49" t="str">
        <f>IF(O64=""," ",VLOOKUP(O64,'[8]2012 личен състав ОТД'!$A:$AO,2,FALSE))</f>
        <v xml:space="preserve">   </v>
      </c>
      <c r="O64" s="48">
        <f>IF(A64=""," ",VLOOKUP(A64,'Български език и история'!A:O,15,FALSE))</f>
        <v>0</v>
      </c>
      <c r="P64" s="49">
        <f>IF(O64=""," ",VLOOKUP(O64,'[8]2012 личен състав ОТД'!$A:$AO,13,FALSE))</f>
        <v>0</v>
      </c>
      <c r="Q64" s="49">
        <f>IF(O64=""," ",VLOOKUP(O64,'[8]2012 личен състав ОТД'!$A:$AO,12,FALSE))</f>
        <v>0</v>
      </c>
      <c r="R64" s="49" t="str">
        <f>IF(A64=""," ",VLOOKUP(A64,'Профилиращ лист'!A:B,2,FALSE))</f>
        <v>ПЕД</v>
      </c>
      <c r="S64" s="3"/>
      <c r="T64" s="3">
        <f t="shared" ca="1" si="15"/>
        <v>2013</v>
      </c>
    </row>
    <row r="65" spans="1:20" ht="14.1" hidden="1" customHeight="1" x14ac:dyDescent="0.25">
      <c r="A65" s="8" t="s">
        <v>133</v>
      </c>
      <c r="B65" s="4">
        <v>15</v>
      </c>
      <c r="C65" s="4">
        <v>10</v>
      </c>
      <c r="D65" s="4">
        <f>'Български език и руски език'!D66/2</f>
        <v>0</v>
      </c>
      <c r="E65" s="4">
        <f>'Български език и руски език'!E66/2</f>
        <v>0</v>
      </c>
      <c r="F65" s="4">
        <f t="shared" si="20"/>
        <v>10</v>
      </c>
      <c r="G65" s="4">
        <f t="shared" si="21"/>
        <v>50</v>
      </c>
      <c r="H65" s="4">
        <v>60</v>
      </c>
      <c r="I65" s="4">
        <v>2</v>
      </c>
      <c r="J65" s="4" t="s">
        <v>18</v>
      </c>
      <c r="K65" s="73">
        <f t="shared" si="3"/>
        <v>10</v>
      </c>
      <c r="L65" s="73">
        <f t="shared" si="4"/>
        <v>0</v>
      </c>
      <c r="M65" s="74">
        <f t="shared" si="5"/>
        <v>10</v>
      </c>
      <c r="N65" s="49" t="e">
        <f>IF(O65=""," ",VLOOKUP(O65,'[8]2012 личен състав ОТД'!$A:$AO,2,FALSE))</f>
        <v>#N/A</v>
      </c>
      <c r="O65" s="48" t="e">
        <f>IF(A65=""," ",VLOOKUP(A65,'Български език и история'!A:O,15,FALSE))</f>
        <v>#N/A</v>
      </c>
      <c r="P65" s="49" t="e">
        <f>IF(O65=""," ",VLOOKUP(O65,'[8]2012 личен състав ОТД'!$A:$AO,13,FALSE))</f>
        <v>#N/A</v>
      </c>
      <c r="Q65" s="49" t="e">
        <f>IF(O65=""," ",VLOOKUP(O65,'[8]2012 личен състав ОТД'!$A:$AO,12,FALSE))</f>
        <v>#N/A</v>
      </c>
      <c r="R65" s="49" t="e">
        <f>IF(A65=""," ",VLOOKUP(A65,'Профилиращ лист'!A:B,2,FALSE))</f>
        <v>#N/A</v>
      </c>
      <c r="S65" s="3"/>
      <c r="T65" s="3" t="e">
        <f t="shared" ca="1" si="15"/>
        <v>#N/A</v>
      </c>
    </row>
    <row r="66" spans="1:20" ht="14.1" hidden="1" customHeight="1" x14ac:dyDescent="0.25">
      <c r="A66" s="8"/>
      <c r="B66" s="9">
        <f t="shared" ref="B66:I66" si="22">SUM(B56:B65)</f>
        <v>360</v>
      </c>
      <c r="C66" s="9">
        <f t="shared" si="22"/>
        <v>210</v>
      </c>
      <c r="D66" s="9">
        <f t="shared" si="22"/>
        <v>95</v>
      </c>
      <c r="E66" s="9">
        <f t="shared" si="22"/>
        <v>35</v>
      </c>
      <c r="F66" s="9">
        <f t="shared" si="22"/>
        <v>80</v>
      </c>
      <c r="G66" s="9">
        <f t="shared" si="22"/>
        <v>690</v>
      </c>
      <c r="H66" s="9">
        <f t="shared" si="22"/>
        <v>900</v>
      </c>
      <c r="I66" s="9">
        <f t="shared" si="22"/>
        <v>30</v>
      </c>
      <c r="J66" s="6"/>
      <c r="K66" s="73">
        <f t="shared" si="3"/>
        <v>0</v>
      </c>
      <c r="L66" s="73">
        <f t="shared" si="4"/>
        <v>0</v>
      </c>
      <c r="M66" s="74">
        <f t="shared" si="5"/>
        <v>0</v>
      </c>
      <c r="N66" s="49" t="e">
        <f>IF(O66=""," ",VLOOKUP(O66,'[8]2012 личен състав ОТД'!$A:$AO,2,FALSE))</f>
        <v>#N/A</v>
      </c>
      <c r="O66" s="48" t="str">
        <f>IF(A66=""," ",VLOOKUP(A66,'Български език и история'!A:O,15,FALSE))</f>
        <v xml:space="preserve"> </v>
      </c>
      <c r="P66" s="49" t="e">
        <f>IF(O66=""," ",VLOOKUP(O66,'[8]2012 личен състав ОТД'!$A:$AO,13,FALSE))</f>
        <v>#N/A</v>
      </c>
      <c r="Q66" s="49" t="e">
        <f>IF(O66=""," ",VLOOKUP(O66,'[8]2012 личен състав ОТД'!$A:$AO,12,FALSE))</f>
        <v>#N/A</v>
      </c>
      <c r="R66" s="49" t="str">
        <f>IF(A66=""," ",VLOOKUP(A66,'Профилиращ лист'!A:B,2,FALSE))</f>
        <v xml:space="preserve"> </v>
      </c>
      <c r="S66" s="3"/>
      <c r="T66" s="3" t="e">
        <f t="shared" ca="1" si="15"/>
        <v>#N/A</v>
      </c>
    </row>
    <row r="67" spans="1:20" ht="15" hidden="1" customHeight="1" x14ac:dyDescent="0.25">
      <c r="A67" s="1" t="s">
        <v>59</v>
      </c>
      <c r="B67" s="1"/>
      <c r="C67" s="4"/>
      <c r="D67" s="4"/>
      <c r="E67" s="4"/>
      <c r="F67" s="4"/>
      <c r="G67" s="4"/>
      <c r="H67" s="4"/>
      <c r="I67" s="5"/>
      <c r="J67" s="6"/>
      <c r="K67" s="73">
        <f t="shared" si="3"/>
        <v>0</v>
      </c>
      <c r="L67" s="73">
        <f t="shared" si="4"/>
        <v>0</v>
      </c>
      <c r="M67" s="74">
        <f t="shared" si="5"/>
        <v>0</v>
      </c>
      <c r="N67" s="49" t="str">
        <f>IF(O67=""," ",VLOOKUP(O67,'[8]2012 личен състав ОТД'!$A:$AO,2,FALSE))</f>
        <v xml:space="preserve">   </v>
      </c>
      <c r="O67" s="48">
        <f>IF(A67=""," ",VLOOKUP(A67,'Български език и история'!A:O,15,FALSE))</f>
        <v>0</v>
      </c>
      <c r="P67" s="49">
        <f>IF(O67=""," ",VLOOKUP(O67,'[8]2012 личен състав ОТД'!$A:$AO,13,FALSE))</f>
        <v>0</v>
      </c>
      <c r="Q67" s="49">
        <f>IF(O67=""," ",VLOOKUP(O67,'[8]2012 личен състав ОТД'!$A:$AO,12,FALSE))</f>
        <v>0</v>
      </c>
      <c r="R67" s="49" t="e">
        <f>IF(A67=""," ",VLOOKUP(A67,'Профилиращ лист'!A:B,2,FALSE))</f>
        <v>#N/A</v>
      </c>
      <c r="S67" s="3"/>
      <c r="T67" s="3">
        <f t="shared" ref="T67:T95" ca="1" si="23">Години-P67</f>
        <v>2013</v>
      </c>
    </row>
    <row r="68" spans="1:20" ht="15" hidden="1" customHeight="1" x14ac:dyDescent="0.25">
      <c r="A68" s="8" t="s">
        <v>62</v>
      </c>
      <c r="B68" s="4">
        <v>45</v>
      </c>
      <c r="C68" s="4">
        <v>25</v>
      </c>
      <c r="D68" s="4">
        <v>25</v>
      </c>
      <c r="E68" s="4">
        <f>'Български език и руски език'!E69/2</f>
        <v>0</v>
      </c>
      <c r="F68" s="4">
        <f t="shared" ref="F68:F77" si="24">C68-D68-E68</f>
        <v>0</v>
      </c>
      <c r="G68" s="4">
        <f t="shared" ref="G68:G77" si="25">H68-C68</f>
        <v>65</v>
      </c>
      <c r="H68" s="4">
        <v>90</v>
      </c>
      <c r="I68" s="4">
        <v>3</v>
      </c>
      <c r="J68" s="4" t="s">
        <v>14</v>
      </c>
      <c r="K68" s="73">
        <f t="shared" ref="K68:K109" si="26">SUMIF(A:A,A68,C:C)</f>
        <v>50</v>
      </c>
      <c r="L68" s="73">
        <f t="shared" ref="L68:L109" si="27">SUMIF(A:A,A68,D:D)</f>
        <v>50</v>
      </c>
      <c r="M68" s="74">
        <f t="shared" ref="M68:M109" si="28">SUMIF(A:A,A68,E:E)+SUMIF(A:A,A68,F:F)</f>
        <v>0</v>
      </c>
      <c r="N68" s="49" t="str">
        <f>IF(O68=""," ",VLOOKUP(O68,'[8]2012 личен състав ОТД'!$A:$AO,2,FALSE))</f>
        <v xml:space="preserve">   </v>
      </c>
      <c r="O68" s="48">
        <f>IF(A68=""," ",VLOOKUP(A68,'Български език и история'!A:O,15,FALSE))</f>
        <v>0</v>
      </c>
      <c r="P68" s="49">
        <f>IF(O68=""," ",VLOOKUP(O68,'[8]2012 личен състав ОТД'!$A:$AO,13,FALSE))</f>
        <v>0</v>
      </c>
      <c r="Q68" s="49">
        <f>IF(O68=""," ",VLOOKUP(O68,'[8]2012 личен състав ОТД'!$A:$AO,12,FALSE))</f>
        <v>0</v>
      </c>
      <c r="R68" s="49" t="str">
        <f>IF(A68=""," ",VLOOKUP(A68,'Профилиращ лист'!A:B,2,FALSE))</f>
        <v>СПЕ</v>
      </c>
      <c r="S68" s="3"/>
      <c r="T68" s="3">
        <f t="shared" ca="1" si="23"/>
        <v>2013</v>
      </c>
    </row>
    <row r="69" spans="1:20" x14ac:dyDescent="0.25">
      <c r="A69" s="67" t="s">
        <v>64</v>
      </c>
      <c r="B69" s="4">
        <v>15</v>
      </c>
      <c r="C69" s="4">
        <v>10</v>
      </c>
      <c r="D69" s="4">
        <v>10</v>
      </c>
      <c r="E69" s="4">
        <f>'Български език и руски език'!E70/2</f>
        <v>0</v>
      </c>
      <c r="F69" s="4">
        <f t="shared" si="24"/>
        <v>0</v>
      </c>
      <c r="G69" s="4">
        <f t="shared" si="25"/>
        <v>80</v>
      </c>
      <c r="H69" s="4">
        <v>90</v>
      </c>
      <c r="I69" s="4">
        <v>3</v>
      </c>
      <c r="J69" s="4" t="s">
        <v>12</v>
      </c>
      <c r="K69" s="73">
        <f t="shared" si="26"/>
        <v>10</v>
      </c>
      <c r="L69" s="73">
        <f t="shared" si="27"/>
        <v>10</v>
      </c>
      <c r="M69" s="74">
        <f t="shared" si="28"/>
        <v>0</v>
      </c>
      <c r="N69" s="49" t="str">
        <f>IF(O69=""," ",VLOOKUP(O69,'[8]2012 личен състав ОТД'!$A:$AO,2,FALSE))</f>
        <v>доц. д-р Соня Спилкова</v>
      </c>
      <c r="O69" s="48" t="str">
        <f>IF(A69=""," ",VLOOKUP(A69,'Български език и руски език'!A:O,15,FALSE))</f>
        <v>спилкова</v>
      </c>
      <c r="P69" s="49">
        <f>IF(O69=""," ",VLOOKUP(O69,'[8]2012 личен състав ОТД'!$A:$AO,13,FALSE))</f>
        <v>1952</v>
      </c>
      <c r="Q69" s="49" t="str">
        <f>IF(O69=""," ",VLOOKUP(O69,'[8]2012 личен състав ОТД'!$A:$AO,12,FALSE))</f>
        <v>ОТД</v>
      </c>
      <c r="R69" s="49" t="str">
        <f>IF(A69=""," ",VLOOKUP(A69,'Профилиращ лист'!A:B,2,FALSE))</f>
        <v>ПЕД</v>
      </c>
      <c r="S69" s="3"/>
      <c r="T69" s="3">
        <f t="shared" ca="1" si="23"/>
        <v>61</v>
      </c>
    </row>
    <row r="70" spans="1:20" x14ac:dyDescent="0.25">
      <c r="A70" s="67" t="s">
        <v>65</v>
      </c>
      <c r="B70" s="4">
        <v>15</v>
      </c>
      <c r="C70" s="4">
        <v>10</v>
      </c>
      <c r="D70" s="4">
        <v>10</v>
      </c>
      <c r="E70" s="4">
        <f>'Български език и руски език'!E71/2</f>
        <v>0</v>
      </c>
      <c r="F70" s="4">
        <f t="shared" si="24"/>
        <v>0</v>
      </c>
      <c r="G70" s="4">
        <f t="shared" si="25"/>
        <v>80</v>
      </c>
      <c r="H70" s="4">
        <v>90</v>
      </c>
      <c r="I70" s="4">
        <v>3</v>
      </c>
      <c r="J70" s="4" t="s">
        <v>12</v>
      </c>
      <c r="K70" s="73">
        <f t="shared" si="26"/>
        <v>10</v>
      </c>
      <c r="L70" s="73">
        <f t="shared" si="27"/>
        <v>10</v>
      </c>
      <c r="M70" s="74">
        <f t="shared" si="28"/>
        <v>0</v>
      </c>
      <c r="N70" s="49" t="str">
        <f>IF(O70=""," ",VLOOKUP(O70,'[8]2012 личен състав ОТД'!$A:$AO,2,FALSE))</f>
        <v>доц. д-р Пенка Гарушева-Карамалакова</v>
      </c>
      <c r="O70" s="48" t="str">
        <f>IF(A70=""," ",VLOOKUP(A70,'Български език и руски език'!A:O,15,FALSE))</f>
        <v>гарушева</v>
      </c>
      <c r="P70" s="49">
        <f>IF(O70=""," ",VLOOKUP(O70,'[8]2012 личен състав ОТД'!$A:$AO,13,FALSE))</f>
        <v>1947</v>
      </c>
      <c r="Q70" s="49" t="str">
        <f>IF(O70=""," ",VLOOKUP(O70,'[8]2012 личен състав ОТД'!$A:$AO,12,FALSE))</f>
        <v>ОТД</v>
      </c>
      <c r="R70" s="49" t="str">
        <f>IF(A70=""," ",VLOOKUP(A70,'Профилиращ лист'!A:B,2,FALSE))</f>
        <v>ПЕД</v>
      </c>
      <c r="S70" s="3"/>
      <c r="T70" s="3">
        <f t="shared" ca="1" si="23"/>
        <v>66</v>
      </c>
    </row>
    <row r="71" spans="1:20" ht="15" hidden="1" customHeight="1" x14ac:dyDescent="0.25">
      <c r="A71" s="8" t="s">
        <v>116</v>
      </c>
      <c r="B71" s="4">
        <v>90</v>
      </c>
      <c r="C71" s="4">
        <v>40</v>
      </c>
      <c r="D71" s="4">
        <f>'Български език и руски език'!D72/2</f>
        <v>0</v>
      </c>
      <c r="E71" s="4">
        <f>'Български език и руски език'!E72/2</f>
        <v>0</v>
      </c>
      <c r="F71" s="4">
        <f t="shared" si="24"/>
        <v>40</v>
      </c>
      <c r="G71" s="4">
        <f t="shared" si="25"/>
        <v>170</v>
      </c>
      <c r="H71" s="4">
        <v>210</v>
      </c>
      <c r="I71" s="4">
        <v>7</v>
      </c>
      <c r="J71" s="4" t="s">
        <v>14</v>
      </c>
      <c r="K71" s="73">
        <f t="shared" si="26"/>
        <v>330</v>
      </c>
      <c r="L71" s="73">
        <f t="shared" si="27"/>
        <v>0</v>
      </c>
      <c r="M71" s="74">
        <f t="shared" si="28"/>
        <v>330</v>
      </c>
      <c r="N71" s="49" t="e">
        <f>IF(O71=""," ",VLOOKUP(O71,'[8]2012 личен състав ОТД'!$A:$AO,2,FALSE))</f>
        <v>#N/A</v>
      </c>
      <c r="O71" s="48" t="e">
        <f>IF(A71=""," ",VLOOKUP(A71,'Български език и история'!A:O,15,FALSE))</f>
        <v>#N/A</v>
      </c>
      <c r="P71" s="49" t="e">
        <f>IF(O71=""," ",VLOOKUP(O71,'[8]2012 личен състав ОТД'!$A:$AO,13,FALSE))</f>
        <v>#N/A</v>
      </c>
      <c r="Q71" s="49" t="e">
        <f>IF(O71=""," ",VLOOKUP(O71,'[8]2012 личен състав ОТД'!$A:$AO,12,FALSE))</f>
        <v>#N/A</v>
      </c>
      <c r="R71" s="49" t="str">
        <f>IF(A71=""," ",VLOOKUP(A71,'Профилиращ лист'!A:B,2,FALSE))</f>
        <v>ПРА</v>
      </c>
      <c r="S71" s="3"/>
      <c r="T71" s="3" t="e">
        <f t="shared" ca="1" si="23"/>
        <v>#N/A</v>
      </c>
    </row>
    <row r="72" spans="1:20" hidden="1" x14ac:dyDescent="0.25">
      <c r="A72" s="8" t="s">
        <v>134</v>
      </c>
      <c r="B72" s="8">
        <v>30</v>
      </c>
      <c r="C72" s="4">
        <v>25</v>
      </c>
      <c r="D72" s="4">
        <f>'Български език и руски език'!D73/2</f>
        <v>15</v>
      </c>
      <c r="E72" s="4">
        <v>10</v>
      </c>
      <c r="F72" s="4">
        <f t="shared" si="24"/>
        <v>0</v>
      </c>
      <c r="G72" s="4">
        <f t="shared" si="25"/>
        <v>95</v>
      </c>
      <c r="H72" s="4">
        <v>120</v>
      </c>
      <c r="I72" s="4">
        <v>4</v>
      </c>
      <c r="J72" s="4" t="s">
        <v>14</v>
      </c>
      <c r="K72" s="73">
        <f t="shared" si="26"/>
        <v>40</v>
      </c>
      <c r="L72" s="73">
        <f t="shared" si="27"/>
        <v>25</v>
      </c>
      <c r="M72" s="74">
        <f t="shared" si="28"/>
        <v>15</v>
      </c>
      <c r="N72" s="49" t="e">
        <f>IF(O72=""," ",VLOOKUP(O72,'[8]2012 личен състав ОТД'!$A:$AO,2,FALSE))</f>
        <v>#N/A</v>
      </c>
      <c r="O72" s="48" t="e">
        <f>IF(A72=""," ",VLOOKUP(A72,'Български език и история'!A:O,15,FALSE))</f>
        <v>#N/A</v>
      </c>
      <c r="P72" s="49" t="e">
        <f>IF(O72=""," ",VLOOKUP(O72,'[8]2012 личен състав ОТД'!$A:$AO,13,FALSE))</f>
        <v>#N/A</v>
      </c>
      <c r="Q72" s="49" t="e">
        <f>IF(O72=""," ",VLOOKUP(O72,'[8]2012 личен състав ОТД'!$A:$AO,12,FALSE))</f>
        <v>#N/A</v>
      </c>
      <c r="R72" s="49" t="str">
        <f>IF(A72=""," ",VLOOKUP(A72,'Профилиращ лист'!A:B,2,FALSE))</f>
        <v>ОФД</v>
      </c>
      <c r="S72" s="3"/>
      <c r="T72" s="3" t="e">
        <f t="shared" ca="1" si="23"/>
        <v>#N/A</v>
      </c>
    </row>
    <row r="73" spans="1:20" x14ac:dyDescent="0.25">
      <c r="A73" s="67" t="s">
        <v>54</v>
      </c>
      <c r="B73" s="4">
        <v>30</v>
      </c>
      <c r="C73" s="4">
        <f>'Български език и руски език'!C74/2</f>
        <v>15</v>
      </c>
      <c r="D73" s="4">
        <v>10</v>
      </c>
      <c r="E73" s="4">
        <v>5</v>
      </c>
      <c r="F73" s="4">
        <f t="shared" si="24"/>
        <v>0</v>
      </c>
      <c r="G73" s="4">
        <f t="shared" si="25"/>
        <v>45</v>
      </c>
      <c r="H73" s="4">
        <v>60</v>
      </c>
      <c r="I73" s="4">
        <v>2</v>
      </c>
      <c r="J73" s="4" t="s">
        <v>12</v>
      </c>
      <c r="K73" s="73">
        <f t="shared" si="26"/>
        <v>30</v>
      </c>
      <c r="L73" s="73">
        <f t="shared" si="27"/>
        <v>25</v>
      </c>
      <c r="M73" s="74">
        <f t="shared" si="28"/>
        <v>5</v>
      </c>
      <c r="N73" s="49" t="str">
        <f>IF(O73=""," ",VLOOKUP(O73,'[8]2012 личен състав ОТД'!$A:$AO,2,FALSE))</f>
        <v>доц. д-р Петя Бъркалова</v>
      </c>
      <c r="O73" s="48" t="s">
        <v>479</v>
      </c>
      <c r="P73" s="49">
        <f>IF(O73=""," ",VLOOKUP(O73,'[8]2012 личен състав ОТД'!$A:$AO,13,FALSE))</f>
        <v>1956</v>
      </c>
      <c r="Q73" s="49" t="str">
        <f>IF(O73=""," ",VLOOKUP(O73,'[8]2012 личен състав ОТД'!$A:$AO,12,FALSE))</f>
        <v>ОТД</v>
      </c>
      <c r="R73" s="49" t="str">
        <f>IF(A73=""," ",VLOOKUP(A73,'Профилиращ лист'!A:B,2,FALSE))</f>
        <v>СПЕ</v>
      </c>
      <c r="S73" s="3"/>
      <c r="T73" s="3">
        <f t="shared" ca="1" si="23"/>
        <v>57</v>
      </c>
    </row>
    <row r="74" spans="1:20" x14ac:dyDescent="0.25">
      <c r="A74" s="67" t="s">
        <v>132</v>
      </c>
      <c r="B74" s="4">
        <v>30</v>
      </c>
      <c r="C74" s="4">
        <f>'Български език и руски език'!C75/2</f>
        <v>15</v>
      </c>
      <c r="D74" s="4">
        <v>10</v>
      </c>
      <c r="E74" s="4">
        <v>5</v>
      </c>
      <c r="F74" s="4">
        <f t="shared" si="24"/>
        <v>0</v>
      </c>
      <c r="G74" s="4">
        <f t="shared" si="25"/>
        <v>45</v>
      </c>
      <c r="H74" s="4">
        <v>60</v>
      </c>
      <c r="I74" s="4">
        <v>2</v>
      </c>
      <c r="J74" s="4" t="s">
        <v>12</v>
      </c>
      <c r="K74" s="73">
        <f t="shared" si="26"/>
        <v>30</v>
      </c>
      <c r="L74" s="73">
        <f t="shared" si="27"/>
        <v>20</v>
      </c>
      <c r="M74" s="74">
        <f t="shared" si="28"/>
        <v>10</v>
      </c>
      <c r="N74" s="49" t="str">
        <f>IF(O74=""," ",VLOOKUP(O74,'[8]2012 личен състав ОТД'!$A:$AO,2,FALSE))</f>
        <v>проф. д-р Стефка Георгиева</v>
      </c>
      <c r="O74" s="48" t="s">
        <v>497</v>
      </c>
      <c r="P74" s="49">
        <f>IF(O74=""," ",VLOOKUP(O74,'[8]2012 личен състав ОТД'!$A:$AO,13,FALSE))</f>
        <v>1945</v>
      </c>
      <c r="Q74" s="49" t="str">
        <f>IF(O74=""," ",VLOOKUP(O74,'[8]2012 личен състав ОТД'!$A:$AO,12,FALSE))</f>
        <v>ОТД</v>
      </c>
      <c r="R74" s="49" t="str">
        <f>IF(A74=""," ",VLOOKUP(A74,'Профилиращ лист'!A:B,2,FALSE))</f>
        <v>ОФД</v>
      </c>
      <c r="S74" s="3" t="s">
        <v>5</v>
      </c>
      <c r="T74" s="3">
        <f t="shared" ca="1" si="23"/>
        <v>68</v>
      </c>
    </row>
    <row r="75" spans="1:20" ht="15" hidden="1" customHeight="1" x14ac:dyDescent="0.25">
      <c r="A75" s="8" t="s">
        <v>72</v>
      </c>
      <c r="B75" s="4">
        <v>30</v>
      </c>
      <c r="C75" s="4">
        <f>'Български език и руски език'!C76/2</f>
        <v>15</v>
      </c>
      <c r="D75" s="4">
        <f>'Български език и руски език'!D76/2</f>
        <v>0</v>
      </c>
      <c r="E75" s="4">
        <f>'Български език и руски език'!E76/2</f>
        <v>0</v>
      </c>
      <c r="F75" s="4">
        <f t="shared" si="24"/>
        <v>15</v>
      </c>
      <c r="G75" s="4">
        <f t="shared" si="25"/>
        <v>45</v>
      </c>
      <c r="H75" s="4">
        <v>60</v>
      </c>
      <c r="I75" s="4">
        <v>2</v>
      </c>
      <c r="J75" s="4" t="s">
        <v>18</v>
      </c>
      <c r="K75" s="73">
        <f t="shared" si="26"/>
        <v>15</v>
      </c>
      <c r="L75" s="73">
        <f t="shared" si="27"/>
        <v>0</v>
      </c>
      <c r="M75" s="74">
        <f t="shared" si="28"/>
        <v>15</v>
      </c>
      <c r="N75" s="49" t="str">
        <f>IF(O75=""," ",VLOOKUP(O75,'[8]2012 личен състав ОТД'!$A:$AO,2,FALSE))</f>
        <v xml:space="preserve">   </v>
      </c>
      <c r="O75" s="48">
        <f>IF(A75=""," ",VLOOKUP(A75,'Български език и история'!A:O,15,FALSE))</f>
        <v>0</v>
      </c>
      <c r="P75" s="49">
        <f>IF(O75=""," ",VLOOKUP(O75,'[8]2012 личен състав ОТД'!$A:$AO,13,FALSE))</f>
        <v>0</v>
      </c>
      <c r="Q75" s="49">
        <f>IF(O75=""," ",VLOOKUP(O75,'[8]2012 личен състав ОТД'!$A:$AO,12,FALSE))</f>
        <v>0</v>
      </c>
      <c r="R75" s="49" t="str">
        <f>IF(A75=""," ",VLOOKUP(A75,'Профилиращ лист'!A:B,2,FALSE))</f>
        <v>ФД</v>
      </c>
      <c r="S75" s="3"/>
      <c r="T75" s="3">
        <f t="shared" ca="1" si="23"/>
        <v>2013</v>
      </c>
    </row>
    <row r="76" spans="1:20" ht="15" hidden="1" customHeight="1" x14ac:dyDescent="0.25">
      <c r="A76" s="8" t="s">
        <v>66</v>
      </c>
      <c r="B76" s="4">
        <v>30</v>
      </c>
      <c r="C76" s="4">
        <f>'Български език и руски език'!C77/2</f>
        <v>15</v>
      </c>
      <c r="D76" s="4">
        <f>'Български език и руски език'!D77/2</f>
        <v>0</v>
      </c>
      <c r="E76" s="4">
        <f>'Български език и руски език'!E77/2</f>
        <v>0</v>
      </c>
      <c r="F76" s="4">
        <f t="shared" si="24"/>
        <v>15</v>
      </c>
      <c r="G76" s="4">
        <f t="shared" si="25"/>
        <v>45</v>
      </c>
      <c r="H76" s="4">
        <v>60</v>
      </c>
      <c r="I76" s="4">
        <v>2</v>
      </c>
      <c r="J76" s="4" t="s">
        <v>18</v>
      </c>
      <c r="K76" s="73">
        <f t="shared" si="26"/>
        <v>15</v>
      </c>
      <c r="L76" s="73">
        <f t="shared" si="27"/>
        <v>0</v>
      </c>
      <c r="M76" s="74">
        <f t="shared" si="28"/>
        <v>15</v>
      </c>
      <c r="N76" s="49" t="str">
        <f>IF(O76=""," ",VLOOKUP(O76,'[8]2012 личен състав ОТД'!$A:$AO,2,FALSE))</f>
        <v xml:space="preserve">   </v>
      </c>
      <c r="O76" s="48">
        <f>IF(A76=""," ",VLOOKUP(A76,'Български език и история'!A:O,15,FALSE))</f>
        <v>0</v>
      </c>
      <c r="P76" s="49">
        <f>IF(O76=""," ",VLOOKUP(O76,'[8]2012 личен състав ОТД'!$A:$AO,13,FALSE))</f>
        <v>0</v>
      </c>
      <c r="Q76" s="49">
        <f>IF(O76=""," ",VLOOKUP(O76,'[8]2012 личен състав ОТД'!$A:$AO,12,FALSE))</f>
        <v>0</v>
      </c>
      <c r="R76" s="49" t="str">
        <f>IF(A76=""," ",VLOOKUP(A76,'Профилиращ лист'!A:B,2,FALSE))</f>
        <v>ПЕД</v>
      </c>
      <c r="S76" s="3"/>
      <c r="T76" s="3">
        <f t="shared" ca="1" si="23"/>
        <v>2013</v>
      </c>
    </row>
    <row r="77" spans="1:20" ht="15" hidden="1" customHeight="1" x14ac:dyDescent="0.25">
      <c r="A77" s="8" t="s">
        <v>135</v>
      </c>
      <c r="B77" s="4">
        <v>15</v>
      </c>
      <c r="C77" s="4">
        <v>10</v>
      </c>
      <c r="D77" s="4">
        <f>'Български език и руски език'!D78/2</f>
        <v>0</v>
      </c>
      <c r="E77" s="4">
        <f>'Български език и руски език'!E78/2</f>
        <v>0</v>
      </c>
      <c r="F77" s="4">
        <f t="shared" si="24"/>
        <v>10</v>
      </c>
      <c r="G77" s="4">
        <f t="shared" si="25"/>
        <v>50</v>
      </c>
      <c r="H77" s="4">
        <v>60</v>
      </c>
      <c r="I77" s="4">
        <v>2</v>
      </c>
      <c r="J77" s="4" t="s">
        <v>18</v>
      </c>
      <c r="K77" s="73">
        <f t="shared" si="26"/>
        <v>10</v>
      </c>
      <c r="L77" s="73">
        <f t="shared" si="27"/>
        <v>0</v>
      </c>
      <c r="M77" s="74">
        <f t="shared" si="28"/>
        <v>10</v>
      </c>
      <c r="N77" s="49" t="e">
        <f>IF(O77=""," ",VLOOKUP(O77,'[8]2012 личен състав ОТД'!$A:$AO,2,FALSE))</f>
        <v>#N/A</v>
      </c>
      <c r="O77" s="48" t="e">
        <f>IF(A77=""," ",VLOOKUP(A77,'Български език и история'!A:O,15,FALSE))</f>
        <v>#N/A</v>
      </c>
      <c r="P77" s="49" t="e">
        <f>IF(O77=""," ",VLOOKUP(O77,'[8]2012 личен състав ОТД'!$A:$AO,13,FALSE))</f>
        <v>#N/A</v>
      </c>
      <c r="Q77" s="49" t="e">
        <f>IF(O77=""," ",VLOOKUP(O77,'[8]2012 личен състав ОТД'!$A:$AO,12,FALSE))</f>
        <v>#N/A</v>
      </c>
      <c r="R77" s="49" t="e">
        <f>IF(A77=""," ",VLOOKUP(A77,'Профилиращ лист'!A:B,2,FALSE))</f>
        <v>#N/A</v>
      </c>
      <c r="S77" s="3"/>
      <c r="T77" s="3" t="e">
        <f t="shared" ca="1" si="23"/>
        <v>#N/A</v>
      </c>
    </row>
    <row r="78" spans="1:20" ht="15" hidden="1" customHeight="1" x14ac:dyDescent="0.25">
      <c r="A78" s="8"/>
      <c r="B78" s="9">
        <f t="shared" ref="B78:I78" si="29">SUM(B68:B77)</f>
        <v>330</v>
      </c>
      <c r="C78" s="9">
        <f t="shared" si="29"/>
        <v>180</v>
      </c>
      <c r="D78" s="9">
        <f t="shared" si="29"/>
        <v>80</v>
      </c>
      <c r="E78" s="9">
        <f t="shared" si="29"/>
        <v>20</v>
      </c>
      <c r="F78" s="9">
        <f t="shared" si="29"/>
        <v>80</v>
      </c>
      <c r="G78" s="9">
        <f t="shared" si="29"/>
        <v>720</v>
      </c>
      <c r="H78" s="9">
        <f t="shared" si="29"/>
        <v>900</v>
      </c>
      <c r="I78" s="9">
        <f t="shared" si="29"/>
        <v>30</v>
      </c>
      <c r="J78" s="6"/>
      <c r="K78" s="73">
        <f t="shared" si="26"/>
        <v>0</v>
      </c>
      <c r="L78" s="73">
        <f t="shared" si="27"/>
        <v>0</v>
      </c>
      <c r="M78" s="74">
        <f t="shared" si="28"/>
        <v>0</v>
      </c>
      <c r="N78" s="49" t="e">
        <f>IF(O78=""," ",VLOOKUP(O78,'[8]2012 личен състав ОТД'!$A:$AO,2,FALSE))</f>
        <v>#N/A</v>
      </c>
      <c r="O78" s="48" t="str">
        <f>IF(A78=""," ",VLOOKUP(A78,'Български език и история'!A:O,15,FALSE))</f>
        <v xml:space="preserve"> </v>
      </c>
      <c r="P78" s="49" t="e">
        <f>IF(O78=""," ",VLOOKUP(O78,'[8]2012 личен състав ОТД'!$A:$AO,13,FALSE))</f>
        <v>#N/A</v>
      </c>
      <c r="Q78" s="49" t="e">
        <f>IF(O78=""," ",VLOOKUP(O78,'[8]2012 личен състав ОТД'!$A:$AO,12,FALSE))</f>
        <v>#N/A</v>
      </c>
      <c r="R78" s="49" t="str">
        <f>IF(A78=""," ",VLOOKUP(A78,'Профилиращ лист'!A:B,2,FALSE))</f>
        <v xml:space="preserve"> </v>
      </c>
      <c r="S78" s="3"/>
      <c r="T78" s="3" t="e">
        <f t="shared" ca="1" si="23"/>
        <v>#N/A</v>
      </c>
    </row>
    <row r="79" spans="1:20" ht="15" hidden="1" customHeight="1" x14ac:dyDescent="0.25">
      <c r="A79" s="1" t="s">
        <v>68</v>
      </c>
      <c r="B79" s="1"/>
      <c r="C79" s="4"/>
      <c r="D79" s="4"/>
      <c r="E79" s="4"/>
      <c r="F79" s="4"/>
      <c r="G79" s="4"/>
      <c r="H79" s="4"/>
      <c r="I79" s="5"/>
      <c r="J79" s="6"/>
      <c r="K79" s="73">
        <f t="shared" si="26"/>
        <v>0</v>
      </c>
      <c r="L79" s="73">
        <f t="shared" si="27"/>
        <v>0</v>
      </c>
      <c r="M79" s="74">
        <f t="shared" si="28"/>
        <v>0</v>
      </c>
      <c r="N79" s="49" t="str">
        <f>IF(O79=""," ",VLOOKUP(O79,'[8]2012 личен състав ОТД'!$A:$AO,2,FALSE))</f>
        <v xml:space="preserve">   </v>
      </c>
      <c r="O79" s="48">
        <f>IF(A79=""," ",VLOOKUP(A79,'Български език и история'!A:O,15,FALSE))</f>
        <v>0</v>
      </c>
      <c r="P79" s="49">
        <f>IF(O79=""," ",VLOOKUP(O79,'[8]2012 личен състав ОТД'!$A:$AO,13,FALSE))</f>
        <v>0</v>
      </c>
      <c r="Q79" s="49">
        <f>IF(O79=""," ",VLOOKUP(O79,'[8]2012 личен състав ОТД'!$A:$AO,12,FALSE))</f>
        <v>0</v>
      </c>
      <c r="R79" s="49" t="e">
        <f>IF(A79=""," ",VLOOKUP(A79,'Профилиращ лист'!A:B,2,FALSE))</f>
        <v>#N/A</v>
      </c>
      <c r="S79" s="3"/>
      <c r="T79" s="3">
        <f t="shared" ca="1" si="23"/>
        <v>2013</v>
      </c>
    </row>
    <row r="80" spans="1:20" x14ac:dyDescent="0.25">
      <c r="A80" s="67" t="s">
        <v>62</v>
      </c>
      <c r="B80" s="4">
        <v>30</v>
      </c>
      <c r="C80" s="4">
        <v>25</v>
      </c>
      <c r="D80" s="4">
        <v>25</v>
      </c>
      <c r="E80" s="4">
        <v>0</v>
      </c>
      <c r="F80" s="4">
        <f t="shared" ref="F80:F86" si="30">C80-D80-E80</f>
        <v>0</v>
      </c>
      <c r="G80" s="4">
        <f t="shared" ref="G80:G86" si="31">H80-C80</f>
        <v>65</v>
      </c>
      <c r="H80" s="4">
        <v>90</v>
      </c>
      <c r="I80" s="4">
        <v>5</v>
      </c>
      <c r="J80" s="4" t="s">
        <v>12</v>
      </c>
      <c r="K80" s="73">
        <f t="shared" si="26"/>
        <v>50</v>
      </c>
      <c r="L80" s="73">
        <f t="shared" si="27"/>
        <v>50</v>
      </c>
      <c r="M80" s="74">
        <f t="shared" si="28"/>
        <v>0</v>
      </c>
      <c r="N80" s="49" t="str">
        <f>IF(O80=""," ",VLOOKUP(O80,'[8]2012 личен състав ОТД'!$A:$AO,2,FALSE))</f>
        <v>проф. дфн Любка Липчева-Пранджева</v>
      </c>
      <c r="O80" s="48" t="s">
        <v>495</v>
      </c>
      <c r="P80" s="49">
        <f>IF(O80=""," ",VLOOKUP(O80,'[8]2012 личен състав ОТД'!$A:$AO,13,FALSE))</f>
        <v>1961</v>
      </c>
      <c r="Q80" s="49" t="str">
        <f>IF(O80=""," ",VLOOKUP(O80,'[8]2012 личен състав ОТД'!$A:$AO,12,FALSE))</f>
        <v>ОТД</v>
      </c>
      <c r="R80" s="49" t="str">
        <f>IF(A80=""," ",VLOOKUP(A80,'Профилиращ лист'!A:B,2,FALSE))</f>
        <v>СПЕ</v>
      </c>
      <c r="S80" s="3"/>
      <c r="T80" s="3">
        <f t="shared" ca="1" si="23"/>
        <v>52</v>
      </c>
    </row>
    <row r="81" spans="1:20" ht="15" hidden="1" customHeight="1" x14ac:dyDescent="0.25">
      <c r="A81" s="8" t="s">
        <v>116</v>
      </c>
      <c r="B81" s="4">
        <v>90</v>
      </c>
      <c r="C81" s="4">
        <v>40</v>
      </c>
      <c r="D81" s="4">
        <f>'Български език и руски език'!D82/2</f>
        <v>0</v>
      </c>
      <c r="E81" s="4">
        <f>'Български език и руски език'!E82/2</f>
        <v>0</v>
      </c>
      <c r="F81" s="4">
        <f t="shared" si="30"/>
        <v>40</v>
      </c>
      <c r="G81" s="4">
        <f t="shared" si="31"/>
        <v>170</v>
      </c>
      <c r="H81" s="4">
        <v>210</v>
      </c>
      <c r="I81" s="4">
        <v>7</v>
      </c>
      <c r="J81" s="4" t="s">
        <v>12</v>
      </c>
      <c r="K81" s="73">
        <f t="shared" si="26"/>
        <v>330</v>
      </c>
      <c r="L81" s="73">
        <f t="shared" si="27"/>
        <v>0</v>
      </c>
      <c r="M81" s="74">
        <f t="shared" si="28"/>
        <v>330</v>
      </c>
      <c r="N81" s="49" t="e">
        <f>IF(O81=""," ",VLOOKUP(O81,'[8]2012 личен състав ОТД'!$A:$AO,2,FALSE))</f>
        <v>#N/A</v>
      </c>
      <c r="O81" s="48" t="e">
        <f>IF(A81=""," ",VLOOKUP(A81,'Български език и история'!A:O,15,FALSE))</f>
        <v>#N/A</v>
      </c>
      <c r="P81" s="49" t="e">
        <f>IF(O81=""," ",VLOOKUP(O81,'[8]2012 личен състав ОТД'!$A:$AO,13,FALSE))</f>
        <v>#N/A</v>
      </c>
      <c r="Q81" s="49" t="e">
        <f>IF(O81=""," ",VLOOKUP(O81,'[8]2012 личен състав ОТД'!$A:$AO,12,FALSE))</f>
        <v>#N/A</v>
      </c>
      <c r="R81" s="49" t="str">
        <f>IF(A81=""," ",VLOOKUP(A81,'Профилиращ лист'!A:B,2,FALSE))</f>
        <v>ПРА</v>
      </c>
      <c r="S81" s="3"/>
      <c r="T81" s="3" t="e">
        <f t="shared" ca="1" si="23"/>
        <v>#N/A</v>
      </c>
    </row>
    <row r="82" spans="1:20" ht="15" hidden="1" customHeight="1" x14ac:dyDescent="0.25">
      <c r="A82" s="8" t="s">
        <v>71</v>
      </c>
      <c r="B82" s="4">
        <v>45</v>
      </c>
      <c r="C82" s="4">
        <v>25</v>
      </c>
      <c r="D82" s="4">
        <f>'Български език и руски език'!D83/2</f>
        <v>0</v>
      </c>
      <c r="E82" s="4">
        <f>'Български език и руски език'!E83/2</f>
        <v>0</v>
      </c>
      <c r="F82" s="4">
        <f t="shared" si="30"/>
        <v>25</v>
      </c>
      <c r="G82" s="4">
        <f t="shared" si="31"/>
        <v>95</v>
      </c>
      <c r="H82" s="4">
        <v>120</v>
      </c>
      <c r="I82" s="4">
        <v>4</v>
      </c>
      <c r="J82" s="4" t="s">
        <v>12</v>
      </c>
      <c r="K82" s="73">
        <f t="shared" si="26"/>
        <v>25</v>
      </c>
      <c r="L82" s="73">
        <f t="shared" si="27"/>
        <v>0</v>
      </c>
      <c r="M82" s="74">
        <f t="shared" si="28"/>
        <v>25</v>
      </c>
      <c r="N82" s="49" t="str">
        <f>IF(O82=""," ",VLOOKUP(O82,'[8]2012 личен състав ОТД'!$A:$AO,2,FALSE))</f>
        <v xml:space="preserve">   </v>
      </c>
      <c r="O82" s="48">
        <f>IF(A82=""," ",VLOOKUP(A82,'Български език и история'!A:O,15,FALSE))</f>
        <v>0</v>
      </c>
      <c r="P82" s="49">
        <f>IF(O82=""," ",VLOOKUP(O82,'[8]2012 личен състав ОТД'!$A:$AO,13,FALSE))</f>
        <v>0</v>
      </c>
      <c r="Q82" s="49">
        <f>IF(O82=""," ",VLOOKUP(O82,'[8]2012 личен състав ОТД'!$A:$AO,12,FALSE))</f>
        <v>0</v>
      </c>
      <c r="R82" s="49" t="str">
        <f>IF(A82=""," ",VLOOKUP(A82,'Профилиращ лист'!A:B,2,FALSE))</f>
        <v>ПЕД</v>
      </c>
      <c r="S82" s="3"/>
      <c r="T82" s="3">
        <f t="shared" ca="1" si="23"/>
        <v>2013</v>
      </c>
    </row>
    <row r="83" spans="1:20" ht="15" hidden="1" customHeight="1" x14ac:dyDescent="0.25">
      <c r="A83" s="8" t="s">
        <v>136</v>
      </c>
      <c r="B83" s="4">
        <v>30</v>
      </c>
      <c r="C83" s="4">
        <f>'Български език и руски език'!C84/2</f>
        <v>15</v>
      </c>
      <c r="D83" s="4">
        <f>'Български език и руски език'!D84/2</f>
        <v>0</v>
      </c>
      <c r="E83" s="4">
        <f>'Български език и руски език'!E84/2</f>
        <v>0</v>
      </c>
      <c r="F83" s="4">
        <f t="shared" si="30"/>
        <v>15</v>
      </c>
      <c r="G83" s="4">
        <f t="shared" si="31"/>
        <v>75</v>
      </c>
      <c r="H83" s="4">
        <v>90</v>
      </c>
      <c r="I83" s="4">
        <v>3</v>
      </c>
      <c r="J83" s="4" t="s">
        <v>12</v>
      </c>
      <c r="K83" s="73">
        <f t="shared" si="26"/>
        <v>15</v>
      </c>
      <c r="L83" s="73">
        <f t="shared" si="27"/>
        <v>0</v>
      </c>
      <c r="M83" s="74">
        <f t="shared" si="28"/>
        <v>15</v>
      </c>
      <c r="N83" s="49" t="e">
        <f>IF(O83=""," ",VLOOKUP(O83,'[8]2012 личен състав ОТД'!$A:$AO,2,FALSE))</f>
        <v>#N/A</v>
      </c>
      <c r="O83" s="48" t="e">
        <f>IF(A83=""," ",VLOOKUP(A83,'Български език и история'!A:O,15,FALSE))</f>
        <v>#N/A</v>
      </c>
      <c r="P83" s="49" t="e">
        <f>IF(O83=""," ",VLOOKUP(O83,'[8]2012 личен състав ОТД'!$A:$AO,13,FALSE))</f>
        <v>#N/A</v>
      </c>
      <c r="Q83" s="49" t="e">
        <f>IF(O83=""," ",VLOOKUP(O83,'[8]2012 личен състав ОТД'!$A:$AO,12,FALSE))</f>
        <v>#N/A</v>
      </c>
      <c r="R83" s="49" t="e">
        <f>IF(A83=""," ",VLOOKUP(A83,'Профилиращ лист'!A:B,2,FALSE))</f>
        <v>#N/A</v>
      </c>
      <c r="S83" s="3"/>
      <c r="T83" s="3" t="e">
        <f t="shared" ca="1" si="23"/>
        <v>#N/A</v>
      </c>
    </row>
    <row r="84" spans="1:20" x14ac:dyDescent="0.25">
      <c r="A84" s="67" t="s">
        <v>134</v>
      </c>
      <c r="B84" s="8">
        <v>30</v>
      </c>
      <c r="C84" s="4">
        <f>'Български език и руски език'!C85/2</f>
        <v>15</v>
      </c>
      <c r="D84" s="4">
        <v>10</v>
      </c>
      <c r="E84" s="4">
        <v>5</v>
      </c>
      <c r="F84" s="4">
        <f t="shared" si="30"/>
        <v>0</v>
      </c>
      <c r="G84" s="4">
        <f t="shared" si="31"/>
        <v>45</v>
      </c>
      <c r="H84" s="4">
        <v>60</v>
      </c>
      <c r="I84" s="4">
        <v>4</v>
      </c>
      <c r="J84" s="6" t="s">
        <v>12</v>
      </c>
      <c r="K84" s="73">
        <f t="shared" si="26"/>
        <v>40</v>
      </c>
      <c r="L84" s="73">
        <f t="shared" si="27"/>
        <v>25</v>
      </c>
      <c r="M84" s="74">
        <f t="shared" si="28"/>
        <v>15</v>
      </c>
      <c r="N84" s="49" t="str">
        <f>IF(O84=""," ",VLOOKUP(O84,'[8]2012 личен състав ОТД'!$A:$AO,2,FALSE))</f>
        <v>гл. ас. д-р Кръстина Арбова</v>
      </c>
      <c r="O84" s="48" t="s">
        <v>502</v>
      </c>
      <c r="P84" s="49">
        <f>IF(O84=""," ",VLOOKUP(O84,'[8]2012 личен състав ОТД'!$A:$AO,13,FALSE))</f>
        <v>1963</v>
      </c>
      <c r="Q84" s="49" t="str">
        <f>IF(O84=""," ",VLOOKUP(O84,'[8]2012 личен състав ОТД'!$A:$AO,12,FALSE))</f>
        <v>ОТД</v>
      </c>
      <c r="R84" s="49" t="str">
        <f>IF(A84=""," ",VLOOKUP(A84,'Профилиращ лист'!A:B,2,FALSE))</f>
        <v>ОФД</v>
      </c>
      <c r="S84" s="3"/>
      <c r="T84" s="3">
        <f t="shared" ca="1" si="23"/>
        <v>50</v>
      </c>
    </row>
    <row r="85" spans="1:20" x14ac:dyDescent="0.25">
      <c r="A85" s="67" t="s">
        <v>74</v>
      </c>
      <c r="B85" s="4">
        <v>30</v>
      </c>
      <c r="C85" s="4">
        <v>25</v>
      </c>
      <c r="D85" s="4">
        <f>'Български език и руски език'!D86/2</f>
        <v>15</v>
      </c>
      <c r="E85" s="4">
        <v>10</v>
      </c>
      <c r="F85" s="4">
        <f t="shared" si="30"/>
        <v>0</v>
      </c>
      <c r="G85" s="4">
        <f t="shared" si="31"/>
        <v>65</v>
      </c>
      <c r="H85" s="4">
        <v>90</v>
      </c>
      <c r="I85" s="4">
        <v>4</v>
      </c>
      <c r="J85" s="4" t="s">
        <v>12</v>
      </c>
      <c r="K85" s="73">
        <f t="shared" si="26"/>
        <v>25</v>
      </c>
      <c r="L85" s="73">
        <f t="shared" si="27"/>
        <v>15</v>
      </c>
      <c r="M85" s="74">
        <f t="shared" si="28"/>
        <v>10</v>
      </c>
      <c r="N85" s="49" t="str">
        <f>IF(O85=""," ",VLOOKUP(O85,'[8]2012 личен състав ОТД'!$A:$AO,2,FALSE))</f>
        <v>доц. дфн Вера Маровска</v>
      </c>
      <c r="O85" s="48" t="str">
        <f>IF(A85=""," ",VLOOKUP(A85,'Български език и руски език'!A:O,15,FALSE))</f>
        <v>маровска</v>
      </c>
      <c r="P85" s="49">
        <f>IF(O85=""," ",VLOOKUP(O85,'[8]2012 личен състав ОТД'!$A:$AO,13,FALSE))</f>
        <v>1954</v>
      </c>
      <c r="Q85" s="49" t="str">
        <f>IF(O85=""," ",VLOOKUP(O85,'[8]2012 личен състав ОТД'!$A:$AO,12,FALSE))</f>
        <v>ОТД</v>
      </c>
      <c r="R85" s="49" t="str">
        <f>IF(A85=""," ",VLOOKUP(A85,'Профилиращ лист'!A:B,2,FALSE))</f>
        <v>СПЕ</v>
      </c>
      <c r="S85" s="3"/>
      <c r="T85" s="3">
        <f t="shared" ca="1" si="23"/>
        <v>59</v>
      </c>
    </row>
    <row r="86" spans="1:20" x14ac:dyDescent="0.25">
      <c r="A86" s="67" t="s">
        <v>137</v>
      </c>
      <c r="B86" s="4">
        <v>30</v>
      </c>
      <c r="C86" s="4">
        <f>'Български език и руски език'!C87/2</f>
        <v>15</v>
      </c>
      <c r="D86" s="4">
        <v>10</v>
      </c>
      <c r="E86" s="4">
        <v>5</v>
      </c>
      <c r="F86" s="4">
        <f t="shared" si="30"/>
        <v>0</v>
      </c>
      <c r="G86" s="4">
        <f t="shared" si="31"/>
        <v>45</v>
      </c>
      <c r="H86" s="4">
        <v>60</v>
      </c>
      <c r="I86" s="4">
        <v>3</v>
      </c>
      <c r="J86" s="4" t="s">
        <v>12</v>
      </c>
      <c r="K86" s="73">
        <f t="shared" si="26"/>
        <v>15</v>
      </c>
      <c r="L86" s="73">
        <f t="shared" si="27"/>
        <v>10</v>
      </c>
      <c r="M86" s="74">
        <f t="shared" si="28"/>
        <v>5</v>
      </c>
      <c r="N86" s="49" t="str">
        <f>IF(O86=""," ",VLOOKUP(O86,'[8]2012 личен състав ОТД'!$A:$AO,2,FALSE))</f>
        <v>гл. ас. д-р Юлиана Чакърова-Бурлакова</v>
      </c>
      <c r="O86" s="48" t="str">
        <f>IF(A86=""," ",VLOOKUP(A86,'Български език и руски език'!A:O,15,FALSE))</f>
        <v>ючакърова</v>
      </c>
      <c r="P86" s="49">
        <f>IF(O86=""," ",VLOOKUP(O86,'[8]2012 личен състав ОТД'!$A:$AO,13,FALSE))</f>
        <v>1964</v>
      </c>
      <c r="Q86" s="49" t="str">
        <f>IF(O86=""," ",VLOOKUP(O86,'[8]2012 личен състав ОТД'!$A:$AO,12,FALSE))</f>
        <v>ОТД</v>
      </c>
      <c r="R86" s="49" t="str">
        <f>IF(A86=""," ",VLOOKUP(A86,'Профилиращ лист'!A:B,2,FALSE))</f>
        <v>СПЕ</v>
      </c>
      <c r="S86" s="3" t="s">
        <v>5</v>
      </c>
      <c r="T86" s="3">
        <f t="shared" ca="1" si="23"/>
        <v>49</v>
      </c>
    </row>
    <row r="87" spans="1:20" ht="15" hidden="1" customHeight="1" x14ac:dyDescent="0.25">
      <c r="A87" s="8"/>
      <c r="B87" s="9">
        <f t="shared" ref="B87:I87" si="32">SUM(B80:B86)</f>
        <v>285</v>
      </c>
      <c r="C87" s="9">
        <f t="shared" si="32"/>
        <v>160</v>
      </c>
      <c r="D87" s="9">
        <f t="shared" si="32"/>
        <v>60</v>
      </c>
      <c r="E87" s="9">
        <f t="shared" si="32"/>
        <v>20</v>
      </c>
      <c r="F87" s="9">
        <f t="shared" si="32"/>
        <v>80</v>
      </c>
      <c r="G87" s="9">
        <f t="shared" si="32"/>
        <v>560</v>
      </c>
      <c r="H87" s="9">
        <f t="shared" si="32"/>
        <v>720</v>
      </c>
      <c r="I87" s="9">
        <f t="shared" si="32"/>
        <v>30</v>
      </c>
      <c r="J87" s="6"/>
      <c r="K87" s="73">
        <f t="shared" si="26"/>
        <v>0</v>
      </c>
      <c r="L87" s="73">
        <f t="shared" si="27"/>
        <v>0</v>
      </c>
      <c r="M87" s="74">
        <f t="shared" si="28"/>
        <v>0</v>
      </c>
      <c r="N87" s="49" t="str">
        <f>IF(O87=""," ",VLOOKUP(O87,'[8]2012 личен състав ОТД'!$A:$AO,2,FALSE))</f>
        <v xml:space="preserve"> </v>
      </c>
      <c r="O87" s="48"/>
      <c r="P87" s="49" t="str">
        <f>IF(O87=""," ",VLOOKUP(O87,'[8]2012 личен състав ОТД'!$A:$AO,13,FALSE))</f>
        <v xml:space="preserve"> </v>
      </c>
      <c r="Q87" s="49" t="str">
        <f>IF(O87=""," ",VLOOKUP(O87,'[8]2012 личен състав ОТД'!$A:$AO,12,FALSE))</f>
        <v xml:space="preserve"> </v>
      </c>
      <c r="R87" s="49" t="str">
        <f>IF(A87=""," ",VLOOKUP(A87,'Профилиращ лист'!A:B,2,FALSE))</f>
        <v xml:space="preserve"> </v>
      </c>
      <c r="S87" s="3"/>
      <c r="T87" s="3" t="e">
        <f t="shared" ca="1" si="23"/>
        <v>#VALUE!</v>
      </c>
    </row>
    <row r="88" spans="1:20" ht="15" hidden="1" customHeight="1" x14ac:dyDescent="0.25">
      <c r="A88" s="1" t="s">
        <v>75</v>
      </c>
      <c r="B88" s="1"/>
      <c r="C88" s="4"/>
      <c r="D88" s="4"/>
      <c r="E88" s="4"/>
      <c r="F88" s="4"/>
      <c r="G88" s="4"/>
      <c r="H88" s="4"/>
      <c r="I88" s="5"/>
      <c r="J88" s="6"/>
      <c r="K88" s="73">
        <f t="shared" si="26"/>
        <v>0</v>
      </c>
      <c r="L88" s="73">
        <f t="shared" si="27"/>
        <v>0</v>
      </c>
      <c r="M88" s="74">
        <f t="shared" si="28"/>
        <v>0</v>
      </c>
      <c r="N88" s="49" t="str">
        <f>IF(O88=""," ",VLOOKUP(O88,'[8]2012 личен състав ОТД'!$A:$AO,2,FALSE))</f>
        <v xml:space="preserve"> </v>
      </c>
      <c r="O88" s="48"/>
      <c r="P88" s="49" t="str">
        <f>IF(O88=""," ",VLOOKUP(O88,'[8]2012 личен състав ОТД'!$A:$AO,13,FALSE))</f>
        <v xml:space="preserve"> </v>
      </c>
      <c r="Q88" s="49" t="str">
        <f>IF(O88=""," ",VLOOKUP(O88,'[8]2012 личен състав ОТД'!$A:$AO,12,FALSE))</f>
        <v xml:space="preserve"> </v>
      </c>
      <c r="R88" s="49" t="e">
        <f>IF(A88=""," ",VLOOKUP(A88,'Профилиращ лист'!A:B,2,FALSE))</f>
        <v>#N/A</v>
      </c>
      <c r="T88" s="49" t="e">
        <f t="shared" ca="1" si="23"/>
        <v>#VALUE!</v>
      </c>
    </row>
    <row r="89" spans="1:20" ht="15" hidden="1" customHeight="1" x14ac:dyDescent="0.25">
      <c r="A89" s="8" t="s">
        <v>77</v>
      </c>
      <c r="B89" s="8"/>
      <c r="C89" s="4"/>
      <c r="D89" s="4"/>
      <c r="E89" s="4"/>
      <c r="F89" s="4"/>
      <c r="G89" s="4"/>
      <c r="H89" s="4"/>
      <c r="I89" s="4">
        <v>2</v>
      </c>
      <c r="J89" s="6" t="s">
        <v>12</v>
      </c>
      <c r="K89" s="73">
        <f t="shared" si="26"/>
        <v>0</v>
      </c>
      <c r="L89" s="73">
        <f t="shared" si="27"/>
        <v>0</v>
      </c>
      <c r="M89" s="74">
        <f t="shared" si="28"/>
        <v>0</v>
      </c>
      <c r="N89" s="49" t="str">
        <f>IF(O89=""," ",VLOOKUP(O89,'[8]2012 личен състав ОТД'!$A:$AO,2,FALSE))</f>
        <v xml:space="preserve"> </v>
      </c>
      <c r="O89" s="48"/>
      <c r="P89" s="49" t="str">
        <f>IF(O89=""," ",VLOOKUP(O89,'[8]2012 личен състав ОТД'!$A:$AO,13,FALSE))</f>
        <v xml:space="preserve"> </v>
      </c>
      <c r="Q89" s="49" t="str">
        <f>IF(O89=""," ",VLOOKUP(O89,'[8]2012 личен състав ОТД'!$A:$AO,12,FALSE))</f>
        <v xml:space="preserve"> </v>
      </c>
      <c r="R89" s="49" t="e">
        <f>IF(A89=""," ",VLOOKUP(A89,'Профилиращ лист'!A:B,2,FALSE))</f>
        <v>#N/A</v>
      </c>
      <c r="T89" s="49" t="e">
        <f t="shared" ca="1" si="23"/>
        <v>#VALUE!</v>
      </c>
    </row>
    <row r="90" spans="1:20" ht="15" hidden="1" customHeight="1" x14ac:dyDescent="0.25">
      <c r="A90" s="8" t="s">
        <v>138</v>
      </c>
      <c r="B90" s="8"/>
      <c r="C90" s="4"/>
      <c r="D90" s="4"/>
      <c r="E90" s="4"/>
      <c r="F90" s="4"/>
      <c r="G90" s="4"/>
      <c r="H90" s="4"/>
      <c r="I90" s="4">
        <v>2</v>
      </c>
      <c r="J90" s="6" t="s">
        <v>12</v>
      </c>
      <c r="K90" s="73">
        <f t="shared" si="26"/>
        <v>0</v>
      </c>
      <c r="L90" s="73">
        <f t="shared" si="27"/>
        <v>0</v>
      </c>
      <c r="M90" s="74">
        <f t="shared" si="28"/>
        <v>0</v>
      </c>
      <c r="N90" s="49" t="str">
        <f>IF(O90=""," ",VLOOKUP(O90,'[8]2012 личен състав ОТД'!$A:$AO,2,FALSE))</f>
        <v xml:space="preserve"> </v>
      </c>
      <c r="O90" s="48"/>
      <c r="P90" s="49" t="str">
        <f>IF(O90=""," ",VLOOKUP(O90,'[8]2012 личен състав ОТД'!$A:$AO,13,FALSE))</f>
        <v xml:space="preserve"> </v>
      </c>
      <c r="Q90" s="49" t="str">
        <f>IF(O90=""," ",VLOOKUP(O90,'[8]2012 личен състав ОТД'!$A:$AO,12,FALSE))</f>
        <v xml:space="preserve"> </v>
      </c>
      <c r="R90" s="49" t="e">
        <f>IF(A90=""," ",VLOOKUP(A90,'Профилиращ лист'!A:B,2,FALSE))</f>
        <v>#N/A</v>
      </c>
      <c r="T90" s="49" t="e">
        <f t="shared" ca="1" si="23"/>
        <v>#VALUE!</v>
      </c>
    </row>
    <row r="91" spans="1:20" ht="15" hidden="1" customHeight="1" x14ac:dyDescent="0.25">
      <c r="A91" s="8" t="s">
        <v>79</v>
      </c>
      <c r="B91" s="8"/>
      <c r="C91" s="4"/>
      <c r="D91" s="4"/>
      <c r="E91" s="4"/>
      <c r="F91" s="4"/>
      <c r="G91" s="4"/>
      <c r="H91" s="4"/>
      <c r="I91" s="4">
        <v>3</v>
      </c>
      <c r="J91" s="6" t="s">
        <v>12</v>
      </c>
      <c r="K91" s="73">
        <f t="shared" si="26"/>
        <v>0</v>
      </c>
      <c r="L91" s="73">
        <f t="shared" si="27"/>
        <v>0</v>
      </c>
      <c r="M91" s="74">
        <f t="shared" si="28"/>
        <v>0</v>
      </c>
      <c r="N91" s="49" t="str">
        <f>IF(O91=""," ",VLOOKUP(O91,'[8]2012 личен състав ОТД'!$A:$AO,2,FALSE))</f>
        <v xml:space="preserve"> </v>
      </c>
      <c r="O91" s="48"/>
      <c r="P91" s="49" t="str">
        <f>IF(O91=""," ",VLOOKUP(O91,'[8]2012 личен състав ОТД'!$A:$AO,13,FALSE))</f>
        <v xml:space="preserve"> </v>
      </c>
      <c r="Q91" s="49" t="str">
        <f>IF(O91=""," ",VLOOKUP(O91,'[8]2012 личен състав ОТД'!$A:$AO,12,FALSE))</f>
        <v xml:space="preserve"> </v>
      </c>
      <c r="R91" s="49" t="e">
        <f>IF(A91=""," ",VLOOKUP(A91,'Профилиращ лист'!A:B,2,FALSE))</f>
        <v>#N/A</v>
      </c>
      <c r="T91" s="49" t="e">
        <f t="shared" ca="1" si="23"/>
        <v>#VALUE!</v>
      </c>
    </row>
    <row r="92" spans="1:20" ht="15" hidden="1" customHeight="1" x14ac:dyDescent="0.25">
      <c r="A92" s="8" t="s">
        <v>139</v>
      </c>
      <c r="B92" s="8"/>
      <c r="C92" s="4"/>
      <c r="D92" s="4"/>
      <c r="E92" s="4"/>
      <c r="F92" s="4"/>
      <c r="G92" s="4"/>
      <c r="H92" s="4"/>
      <c r="I92" s="4">
        <v>3</v>
      </c>
      <c r="J92" s="6" t="s">
        <v>12</v>
      </c>
      <c r="K92" s="73">
        <f t="shared" si="26"/>
        <v>0</v>
      </c>
      <c r="L92" s="73">
        <f t="shared" si="27"/>
        <v>0</v>
      </c>
      <c r="M92" s="74">
        <f t="shared" si="28"/>
        <v>0</v>
      </c>
      <c r="N92" s="49" t="str">
        <f>IF(O92=""," ",VLOOKUP(O92,'[8]2012 личен състав ОТД'!$A:$AO,2,FALSE))</f>
        <v xml:space="preserve"> </v>
      </c>
      <c r="O92" s="48"/>
      <c r="P92" s="49" t="str">
        <f>IF(O92=""," ",VLOOKUP(O92,'[8]2012 личен състав ОТД'!$A:$AO,13,FALSE))</f>
        <v xml:space="preserve"> </v>
      </c>
      <c r="Q92" s="49" t="str">
        <f>IF(O92=""," ",VLOOKUP(O92,'[8]2012 личен състав ОТД'!$A:$AO,12,FALSE))</f>
        <v xml:space="preserve"> </v>
      </c>
      <c r="R92" s="49" t="e">
        <f>IF(A92=""," ",VLOOKUP(A92,'Профилиращ лист'!A:B,2,FALSE))</f>
        <v>#N/A</v>
      </c>
      <c r="T92" s="49" t="e">
        <f t="shared" ca="1" si="23"/>
        <v>#VALUE!</v>
      </c>
    </row>
    <row r="93" spans="1:20" ht="15" hidden="1" customHeight="1" x14ac:dyDescent="0.25">
      <c r="A93" s="8"/>
      <c r="B93" s="8"/>
      <c r="C93" s="4"/>
      <c r="D93" s="4"/>
      <c r="E93" s="4"/>
      <c r="F93" s="4"/>
      <c r="G93" s="4"/>
      <c r="H93" s="4"/>
      <c r="I93" s="9">
        <v>10</v>
      </c>
      <c r="J93" s="6"/>
      <c r="K93" s="73">
        <f t="shared" si="26"/>
        <v>0</v>
      </c>
      <c r="L93" s="73">
        <f t="shared" si="27"/>
        <v>0</v>
      </c>
      <c r="M93" s="74">
        <f t="shared" si="28"/>
        <v>0</v>
      </c>
      <c r="N93" s="49" t="str">
        <f>IF(O93=""," ",VLOOKUP(O93,'[8]2012 личен състав ОТД'!$A:$AO,2,FALSE))</f>
        <v xml:space="preserve"> </v>
      </c>
      <c r="O93" s="48"/>
      <c r="P93" s="49" t="str">
        <f>IF(O93=""," ",VLOOKUP(O93,'[8]2012 личен състав ОТД'!$A:$AO,13,FALSE))</f>
        <v xml:space="preserve"> </v>
      </c>
      <c r="Q93" s="49" t="str">
        <f>IF(O93=""," ",VLOOKUP(O93,'[8]2012 личен състав ОТД'!$A:$AO,12,FALSE))</f>
        <v xml:space="preserve"> </v>
      </c>
      <c r="R93" s="49" t="str">
        <f>IF(A93=""," ",VLOOKUP(A93,'Профилиращ лист'!A:B,2,FALSE))</f>
        <v xml:space="preserve"> </v>
      </c>
      <c r="T93" s="49" t="e">
        <f t="shared" ca="1" si="23"/>
        <v>#VALUE!</v>
      </c>
    </row>
    <row r="94" spans="1:20" ht="15.95" hidden="1" customHeight="1" x14ac:dyDescent="0.25">
      <c r="A94" s="12" t="s">
        <v>80</v>
      </c>
      <c r="B94" s="9">
        <f t="shared" ref="B94:H94" si="33">B87+B78+B66+B54+B42+B32+B21+B11</f>
        <v>2565</v>
      </c>
      <c r="C94" s="9">
        <f t="shared" si="33"/>
        <v>1537.5</v>
      </c>
      <c r="D94" s="9">
        <f t="shared" si="33"/>
        <v>752.5</v>
      </c>
      <c r="E94" s="9">
        <f t="shared" si="33"/>
        <v>240</v>
      </c>
      <c r="F94" s="9">
        <f t="shared" si="33"/>
        <v>545</v>
      </c>
      <c r="G94" s="9">
        <f t="shared" si="33"/>
        <v>5482.5</v>
      </c>
      <c r="H94" s="9">
        <f t="shared" si="33"/>
        <v>7020</v>
      </c>
      <c r="I94" s="11">
        <f>I87+I78+I66+I54+I42+I32+I21+I11+I93</f>
        <v>253</v>
      </c>
      <c r="J94" s="10"/>
      <c r="K94" s="73">
        <f t="shared" si="26"/>
        <v>1537.5</v>
      </c>
      <c r="L94" s="73">
        <f t="shared" si="27"/>
        <v>752.5</v>
      </c>
      <c r="M94" s="74">
        <f t="shared" si="28"/>
        <v>785</v>
      </c>
      <c r="N94" s="49" t="str">
        <f>IF(O94=""," ",VLOOKUP(O94,'[8]2012 личен състав ОТД'!$A:$AO,2,FALSE))</f>
        <v xml:space="preserve"> </v>
      </c>
      <c r="O94" s="48"/>
      <c r="P94" s="49" t="str">
        <f>IF(O94=""," ",VLOOKUP(O94,'[8]2012 личен състав ОТД'!$A:$AO,13,FALSE))</f>
        <v xml:space="preserve"> </v>
      </c>
      <c r="Q94" s="49" t="str">
        <f>IF(O94=""," ",VLOOKUP(O94,'[8]2012 личен състав ОТД'!$A:$AO,12,FALSE))</f>
        <v xml:space="preserve"> </v>
      </c>
      <c r="R94" s="49" t="e">
        <f>IF(A94=""," ",VLOOKUP(A94,'Профилиращ лист'!A:B,2,FALSE))</f>
        <v>#N/A</v>
      </c>
      <c r="T94" s="49" t="e">
        <f t="shared" ca="1" si="23"/>
        <v>#VALUE!</v>
      </c>
    </row>
    <row r="95" spans="1:20" ht="18" hidden="1" customHeight="1" x14ac:dyDescent="0.25">
      <c r="A95" s="8"/>
      <c r="B95" s="8"/>
      <c r="C95" s="4">
        <f t="shared" ref="C95:H95" si="34">C94/120</f>
        <v>12.8125</v>
      </c>
      <c r="D95" s="4">
        <f t="shared" si="34"/>
        <v>6.270833333333333</v>
      </c>
      <c r="E95" s="4">
        <f t="shared" si="34"/>
        <v>2</v>
      </c>
      <c r="F95" s="4">
        <f t="shared" si="34"/>
        <v>4.541666666666667</v>
      </c>
      <c r="G95" s="4">
        <f t="shared" si="34"/>
        <v>45.6875</v>
      </c>
      <c r="H95" s="4">
        <f t="shared" si="34"/>
        <v>58.5</v>
      </c>
      <c r="I95" s="5"/>
      <c r="J95" s="10"/>
      <c r="K95" s="73">
        <f t="shared" si="26"/>
        <v>0</v>
      </c>
      <c r="L95" s="73">
        <f t="shared" si="27"/>
        <v>0</v>
      </c>
      <c r="M95" s="74">
        <f t="shared" si="28"/>
        <v>0</v>
      </c>
      <c r="N95" s="49" t="str">
        <f>IF(O95=""," ",VLOOKUP(O95,'[8]2012 личен състав ОТД'!$A:$AO,2,FALSE))</f>
        <v xml:space="preserve"> </v>
      </c>
      <c r="O95" s="48"/>
      <c r="P95" s="49" t="str">
        <f>IF(O95=""," ",VLOOKUP(O95,'[8]2012 личен състав ОТД'!$A:$AO,13,FALSE))</f>
        <v xml:space="preserve"> </v>
      </c>
      <c r="Q95" s="49" t="str">
        <f>IF(O95=""," ",VLOOKUP(O95,'[8]2012 личен състав ОТД'!$A:$AO,12,FALSE))</f>
        <v xml:space="preserve"> </v>
      </c>
      <c r="R95" s="49" t="str">
        <f>IF(A95=""," ",VLOOKUP(A95,'Профилиращ лист'!A:B,2,FALSE))</f>
        <v xml:space="preserve"> </v>
      </c>
      <c r="T95" s="49" t="e">
        <f t="shared" ca="1" si="23"/>
        <v>#VALUE!</v>
      </c>
    </row>
    <row r="96" spans="1:20" ht="18" hidden="1" customHeight="1" x14ac:dyDescent="0.25">
      <c r="A96" s="8"/>
      <c r="B96" s="8"/>
      <c r="C96" s="4"/>
      <c r="D96" s="4"/>
      <c r="E96" s="4"/>
      <c r="F96" s="4"/>
      <c r="G96" s="4"/>
      <c r="H96" s="4"/>
      <c r="I96" s="5"/>
      <c r="J96" s="10"/>
      <c r="K96" s="73">
        <f t="shared" si="26"/>
        <v>0</v>
      </c>
      <c r="L96" s="73">
        <f t="shared" si="27"/>
        <v>0</v>
      </c>
      <c r="M96" s="74">
        <f t="shared" si="28"/>
        <v>0</v>
      </c>
      <c r="N96" s="49" t="str">
        <f>IF(O96=""," ",VLOOKUP(O96,'[8]2012 личен състав ОТД'!$A:$AO,2,FALSE))</f>
        <v xml:space="preserve"> </v>
      </c>
      <c r="O96" s="48"/>
      <c r="P96" s="49" t="str">
        <f>IF(O96=""," ",VLOOKUP(O96,'[8]2012 личен състав ОТД'!$A:$AO,13,FALSE))</f>
        <v xml:space="preserve"> </v>
      </c>
      <c r="Q96" s="49" t="str">
        <f>IF(O96=""," ",VLOOKUP(O96,'[8]2012 личен състав ОТД'!$A:$AO,12,FALSE))</f>
        <v xml:space="preserve"> </v>
      </c>
      <c r="R96" s="49" t="str">
        <f>IF(A96=""," ",VLOOKUP(A96,'Профилиращ лист'!A:B,2,FALSE))</f>
        <v xml:space="preserve"> </v>
      </c>
    </row>
    <row r="97" spans="1:18" ht="18" hidden="1" customHeight="1" x14ac:dyDescent="0.25">
      <c r="A97" s="8"/>
      <c r="B97" s="8"/>
      <c r="C97" s="4"/>
      <c r="D97" s="4"/>
      <c r="E97" s="4"/>
      <c r="F97" s="4"/>
      <c r="G97" s="4"/>
      <c r="H97" s="4"/>
      <c r="I97" s="5"/>
      <c r="J97" s="10"/>
      <c r="K97" s="73">
        <f t="shared" si="26"/>
        <v>0</v>
      </c>
      <c r="L97" s="73">
        <f t="shared" si="27"/>
        <v>0</v>
      </c>
      <c r="M97" s="74">
        <f t="shared" si="28"/>
        <v>0</v>
      </c>
      <c r="N97" s="49" t="str">
        <f>IF(O97=""," ",VLOOKUP(O97,'[8]2012 личен състав ОТД'!$A:$AO,2,FALSE))</f>
        <v xml:space="preserve"> </v>
      </c>
      <c r="O97" s="48"/>
      <c r="P97" s="49" t="str">
        <f>IF(O97=""," ",VLOOKUP(O97,'[8]2012 личен състав ОТД'!$A:$AO,13,FALSE))</f>
        <v xml:space="preserve"> </v>
      </c>
      <c r="Q97" s="49" t="str">
        <f>IF(O97=""," ",VLOOKUP(O97,'[8]2012 личен състав ОТД'!$A:$AO,12,FALSE))</f>
        <v xml:space="preserve"> </v>
      </c>
      <c r="R97" s="49" t="str">
        <f>IF(A97=""," ",VLOOKUP(A97,'Профилиращ лист'!A:B,2,FALSE))</f>
        <v xml:space="preserve"> </v>
      </c>
    </row>
    <row r="98" spans="1:18" ht="18" hidden="1" customHeight="1" x14ac:dyDescent="0.25">
      <c r="A98" s="8"/>
      <c r="B98" s="8"/>
      <c r="C98" s="4"/>
      <c r="D98" s="4"/>
      <c r="E98" s="4"/>
      <c r="F98" s="4"/>
      <c r="G98" s="4"/>
      <c r="H98" s="4"/>
      <c r="I98" s="5"/>
      <c r="J98" s="10"/>
      <c r="K98" s="73">
        <f t="shared" si="26"/>
        <v>0</v>
      </c>
      <c r="L98" s="73">
        <f t="shared" si="27"/>
        <v>0</v>
      </c>
      <c r="M98" s="74">
        <f t="shared" si="28"/>
        <v>0</v>
      </c>
      <c r="N98" s="49" t="str">
        <f>IF(O98=""," ",VLOOKUP(O98,'[8]2012 личен състав ОТД'!$A:$AO,2,FALSE))</f>
        <v xml:space="preserve"> </v>
      </c>
      <c r="O98" s="48"/>
      <c r="P98" s="49" t="str">
        <f>IF(O98=""," ",VLOOKUP(O98,'[8]2012 личен състав ОТД'!$A:$AO,13,FALSE))</f>
        <v xml:space="preserve"> </v>
      </c>
      <c r="Q98" s="49" t="str">
        <f>IF(O98=""," ",VLOOKUP(O98,'[8]2012 личен състав ОТД'!$A:$AO,12,FALSE))</f>
        <v xml:space="preserve"> </v>
      </c>
      <c r="R98" s="49" t="str">
        <f>IF(A98=""," ",VLOOKUP(A98,'Профилиращ лист'!A:B,2,FALSE))</f>
        <v xml:space="preserve"> </v>
      </c>
    </row>
    <row r="99" spans="1:18" ht="18" hidden="1" customHeight="1" x14ac:dyDescent="0.25">
      <c r="A99" s="8"/>
      <c r="B99" s="8"/>
      <c r="C99" s="4"/>
      <c r="D99" s="4"/>
      <c r="E99" s="4"/>
      <c r="F99" s="4"/>
      <c r="G99" s="4"/>
      <c r="H99" s="4"/>
      <c r="I99" s="5"/>
      <c r="J99" s="10"/>
      <c r="K99" s="73">
        <f t="shared" si="26"/>
        <v>0</v>
      </c>
      <c r="L99" s="73">
        <f t="shared" si="27"/>
        <v>0</v>
      </c>
      <c r="M99" s="74">
        <f t="shared" si="28"/>
        <v>0</v>
      </c>
      <c r="N99" s="49" t="str">
        <f>IF(O99=""," ",VLOOKUP(O99,'[8]2012 личен състав ОТД'!$A:$AO,2,FALSE))</f>
        <v xml:space="preserve"> </v>
      </c>
      <c r="O99" s="48"/>
      <c r="P99" s="49" t="str">
        <f>IF(O99=""," ",VLOOKUP(O99,'[8]2012 личен състав ОТД'!$A:$AO,13,FALSE))</f>
        <v xml:space="preserve"> </v>
      </c>
      <c r="Q99" s="49" t="str">
        <f>IF(O99=""," ",VLOOKUP(O99,'[8]2012 личен състав ОТД'!$A:$AO,12,FALSE))</f>
        <v xml:space="preserve"> </v>
      </c>
      <c r="R99" s="49" t="str">
        <f>IF(A99=""," ",VLOOKUP(A99,'Профилиращ лист'!A:B,2,FALSE))</f>
        <v xml:space="preserve"> </v>
      </c>
    </row>
    <row r="100" spans="1:18" ht="18" hidden="1" customHeight="1" x14ac:dyDescent="0.25">
      <c r="A100" s="8"/>
      <c r="B100" s="8"/>
      <c r="C100" s="4"/>
      <c r="D100" s="4"/>
      <c r="E100" s="4"/>
      <c r="F100" s="4"/>
      <c r="G100" s="4"/>
      <c r="H100" s="4"/>
      <c r="I100" s="5"/>
      <c r="J100" s="10"/>
      <c r="K100" s="73">
        <f t="shared" si="26"/>
        <v>0</v>
      </c>
      <c r="L100" s="73">
        <f t="shared" si="27"/>
        <v>0</v>
      </c>
      <c r="M100" s="74">
        <f t="shared" si="28"/>
        <v>0</v>
      </c>
      <c r="N100" s="49" t="str">
        <f>IF(O100=""," ",VLOOKUP(O100,'[8]2012 личен състав ОТД'!$A:$AO,2,FALSE))</f>
        <v xml:space="preserve"> </v>
      </c>
      <c r="O100" s="48"/>
      <c r="P100" s="49" t="str">
        <f>IF(O100=""," ",VLOOKUP(O100,'[8]2012 личен състав ОТД'!$A:$AO,13,FALSE))</f>
        <v xml:space="preserve"> </v>
      </c>
      <c r="Q100" s="49" t="str">
        <f>IF(O100=""," ",VLOOKUP(O100,'[8]2012 личен състав ОТД'!$A:$AO,12,FALSE))</f>
        <v xml:space="preserve"> </v>
      </c>
      <c r="R100" s="49" t="str">
        <f>IF(A100=""," ",VLOOKUP(A100,'Профилиращ лист'!A:B,2,FALSE))</f>
        <v xml:space="preserve"> </v>
      </c>
    </row>
    <row r="101" spans="1:18" ht="18" hidden="1" customHeight="1" x14ac:dyDescent="0.25">
      <c r="A101" s="8"/>
      <c r="B101" s="8"/>
      <c r="C101" s="4"/>
      <c r="D101" s="4"/>
      <c r="E101" s="4"/>
      <c r="F101" s="4"/>
      <c r="G101" s="4"/>
      <c r="H101" s="4"/>
      <c r="I101" s="5"/>
      <c r="J101" s="10"/>
      <c r="K101" s="73">
        <f t="shared" si="26"/>
        <v>0</v>
      </c>
      <c r="L101" s="73">
        <f t="shared" si="27"/>
        <v>0</v>
      </c>
      <c r="M101" s="74">
        <f t="shared" si="28"/>
        <v>0</v>
      </c>
      <c r="N101" s="49" t="str">
        <f>IF(O101=""," ",VLOOKUP(O101,'[8]2012 личен състав ОТД'!$A:$AO,2,FALSE))</f>
        <v xml:space="preserve"> </v>
      </c>
      <c r="O101" s="48"/>
      <c r="P101" s="49" t="str">
        <f>IF(O101=""," ",VLOOKUP(O101,'[8]2012 личен състав ОТД'!$A:$AO,13,FALSE))</f>
        <v xml:space="preserve"> </v>
      </c>
      <c r="Q101" s="49" t="str">
        <f>IF(O101=""," ",VLOOKUP(O101,'[8]2012 личен състав ОТД'!$A:$AO,12,FALSE))</f>
        <v xml:space="preserve"> </v>
      </c>
      <c r="R101" s="49" t="str">
        <f>IF(A101=""," ",VLOOKUP(A101,'Профилиращ лист'!A:B,2,FALSE))</f>
        <v xml:space="preserve"> </v>
      </c>
    </row>
    <row r="102" spans="1:18" ht="18" hidden="1" customHeight="1" x14ac:dyDescent="0.25">
      <c r="A102" s="8"/>
      <c r="B102" s="8"/>
      <c r="C102" s="4"/>
      <c r="D102" s="4"/>
      <c r="E102" s="4"/>
      <c r="F102" s="4"/>
      <c r="G102" s="4"/>
      <c r="H102" s="4"/>
      <c r="I102" s="5"/>
      <c r="J102" s="10"/>
      <c r="K102" s="73">
        <f t="shared" si="26"/>
        <v>0</v>
      </c>
      <c r="L102" s="73">
        <f t="shared" si="27"/>
        <v>0</v>
      </c>
      <c r="M102" s="74">
        <f t="shared" si="28"/>
        <v>0</v>
      </c>
      <c r="N102" s="49" t="str">
        <f>IF(O102=""," ",VLOOKUP(O102,'[8]2012 личен състав ОТД'!$A:$AO,2,FALSE))</f>
        <v xml:space="preserve"> </v>
      </c>
      <c r="O102" s="48"/>
      <c r="P102" s="49" t="str">
        <f>IF(O102=""," ",VLOOKUP(O102,'[8]2012 личен състав ОТД'!$A:$AO,13,FALSE))</f>
        <v xml:space="preserve"> </v>
      </c>
      <c r="Q102" s="49" t="str">
        <f>IF(O102=""," ",VLOOKUP(O102,'[8]2012 личен състав ОТД'!$A:$AO,12,FALSE))</f>
        <v xml:space="preserve"> </v>
      </c>
      <c r="R102" s="49" t="str">
        <f>IF(A102=""," ",VLOOKUP(A102,'Профилиращ лист'!A:B,2,FALSE))</f>
        <v xml:space="preserve"> </v>
      </c>
    </row>
    <row r="103" spans="1:18" ht="18" hidden="1" customHeight="1" x14ac:dyDescent="0.25">
      <c r="A103" s="8"/>
      <c r="B103" s="8"/>
      <c r="C103" s="4"/>
      <c r="D103" s="4"/>
      <c r="E103" s="4"/>
      <c r="F103" s="4"/>
      <c r="G103" s="4"/>
      <c r="H103" s="4"/>
      <c r="I103" s="5"/>
      <c r="J103" s="10"/>
      <c r="K103" s="73">
        <f t="shared" si="26"/>
        <v>0</v>
      </c>
      <c r="L103" s="73">
        <f t="shared" si="27"/>
        <v>0</v>
      </c>
      <c r="M103" s="74">
        <f t="shared" si="28"/>
        <v>0</v>
      </c>
      <c r="N103" s="49" t="str">
        <f>IF(O103=""," ",VLOOKUP(O103,'[8]2012 личен състав ОТД'!$A:$AO,2,FALSE))</f>
        <v xml:space="preserve"> </v>
      </c>
      <c r="O103" s="48"/>
      <c r="P103" s="49" t="str">
        <f>IF(O103=""," ",VLOOKUP(O103,'[8]2012 личен състав ОТД'!$A:$AO,13,FALSE))</f>
        <v xml:space="preserve"> </v>
      </c>
      <c r="Q103" s="49" t="str">
        <f>IF(O103=""," ",VLOOKUP(O103,'[8]2012 личен състав ОТД'!$A:$AO,12,FALSE))</f>
        <v xml:space="preserve"> </v>
      </c>
      <c r="R103" s="49" t="str">
        <f>IF(A103=""," ",VLOOKUP(A103,'Профилиращ лист'!A:B,2,FALSE))</f>
        <v xml:space="preserve"> </v>
      </c>
    </row>
    <row r="104" spans="1:18" ht="18" hidden="1" customHeight="1" x14ac:dyDescent="0.25">
      <c r="A104" s="8"/>
      <c r="B104" s="8"/>
      <c r="C104" s="4"/>
      <c r="D104" s="4"/>
      <c r="E104" s="4"/>
      <c r="F104" s="4"/>
      <c r="G104" s="4"/>
      <c r="H104" s="4"/>
      <c r="I104" s="5"/>
      <c r="J104" s="10"/>
      <c r="K104" s="73">
        <f t="shared" si="26"/>
        <v>0</v>
      </c>
      <c r="L104" s="73">
        <f t="shared" si="27"/>
        <v>0</v>
      </c>
      <c r="M104" s="74">
        <f t="shared" si="28"/>
        <v>0</v>
      </c>
      <c r="N104" s="49" t="str">
        <f>IF(O104=""," ",VLOOKUP(O104,'[8]2012 личен състав ОТД'!$A:$AO,2,FALSE))</f>
        <v xml:space="preserve"> </v>
      </c>
      <c r="O104" s="48"/>
      <c r="P104" s="49" t="str">
        <f>IF(O104=""," ",VLOOKUP(O104,'[8]2012 личен състав ОТД'!$A:$AO,13,FALSE))</f>
        <v xml:space="preserve"> </v>
      </c>
      <c r="Q104" s="49" t="str">
        <f>IF(O104=""," ",VLOOKUP(O104,'[8]2012 личен състав ОТД'!$A:$AO,12,FALSE))</f>
        <v xml:space="preserve"> </v>
      </c>
      <c r="R104" s="49" t="str">
        <f>IF(A104=""," ",VLOOKUP(A104,'Профилиращ лист'!A:B,2,FALSE))</f>
        <v xml:space="preserve"> </v>
      </c>
    </row>
    <row r="105" spans="1:18" ht="18" hidden="1" customHeight="1" x14ac:dyDescent="0.25">
      <c r="A105" s="51"/>
      <c r="C105" s="53"/>
      <c r="K105" s="73">
        <f t="shared" si="26"/>
        <v>0</v>
      </c>
      <c r="L105" s="73">
        <f t="shared" si="27"/>
        <v>0</v>
      </c>
      <c r="M105" s="74">
        <f t="shared" si="28"/>
        <v>0</v>
      </c>
      <c r="N105" s="49" t="str">
        <f>IF(O105=""," ",VLOOKUP(O105,'[8]2012 личен състав ОТД'!$A:$AO,2,FALSE))</f>
        <v xml:space="preserve"> </v>
      </c>
      <c r="O105" s="48"/>
      <c r="P105" s="49" t="str">
        <f>IF(O105=""," ",VLOOKUP(O105,'[8]2012 личен състав ОТД'!$A:$AO,13,FALSE))</f>
        <v xml:space="preserve"> </v>
      </c>
      <c r="Q105" s="49" t="str">
        <f>IF(O105=""," ",VLOOKUP(O105,'[8]2012 личен състав ОТД'!$A:$AO,12,FALSE))</f>
        <v xml:space="preserve"> </v>
      </c>
      <c r="R105" s="49" t="str">
        <f>IF(A105=""," ",VLOOKUP(A105,'Профилиращ лист'!A:B,2,FALSE))</f>
        <v xml:space="preserve"> </v>
      </c>
    </row>
    <row r="106" spans="1:18" ht="18" hidden="1" customHeight="1" x14ac:dyDescent="0.25">
      <c r="A106" s="51"/>
      <c r="C106" s="53"/>
      <c r="K106" s="73">
        <f t="shared" si="26"/>
        <v>0</v>
      </c>
      <c r="L106" s="73">
        <f t="shared" si="27"/>
        <v>0</v>
      </c>
      <c r="M106" s="74">
        <f t="shared" si="28"/>
        <v>0</v>
      </c>
      <c r="N106" s="49" t="str">
        <f>IF(O106=""," ",VLOOKUP(O106,'[8]2012 личен състав ОТД'!$A:$AO,2,FALSE))</f>
        <v xml:space="preserve"> </v>
      </c>
      <c r="O106" s="48"/>
      <c r="P106" s="49" t="str">
        <f>IF(O106=""," ",VLOOKUP(O106,'[8]2012 личен състав ОТД'!$A:$AO,13,FALSE))</f>
        <v xml:space="preserve"> </v>
      </c>
      <c r="Q106" s="49" t="str">
        <f>IF(O106=""," ",VLOOKUP(O106,'[8]2012 личен състав ОТД'!$A:$AO,12,FALSE))</f>
        <v xml:space="preserve"> </v>
      </c>
      <c r="R106" s="49" t="str">
        <f>IF(A106=""," ",VLOOKUP(A106,'Профилиращ лист'!A:B,2,FALSE))</f>
        <v xml:space="preserve"> </v>
      </c>
    </row>
    <row r="107" spans="1:18" ht="18" hidden="1" customHeight="1" x14ac:dyDescent="0.25">
      <c r="A107" s="51"/>
      <c r="C107" s="53"/>
      <c r="K107" s="73">
        <f t="shared" si="26"/>
        <v>0</v>
      </c>
      <c r="L107" s="73">
        <f t="shared" si="27"/>
        <v>0</v>
      </c>
      <c r="M107" s="74">
        <f t="shared" si="28"/>
        <v>0</v>
      </c>
      <c r="N107" s="49" t="str">
        <f>IF(O107=""," ",VLOOKUP(O107,'[8]2012 личен състав ОТД'!$A:$AO,2,FALSE))</f>
        <v xml:space="preserve"> </v>
      </c>
      <c r="O107" s="48"/>
      <c r="P107" s="49" t="str">
        <f>IF(O107=""," ",VLOOKUP(O107,'[8]2012 личен състав ОТД'!$A:$AO,13,FALSE))</f>
        <v xml:space="preserve"> </v>
      </c>
      <c r="Q107" s="49" t="str">
        <f>IF(O107=""," ",VLOOKUP(O107,'[8]2012 личен състав ОТД'!$A:$AO,12,FALSE))</f>
        <v xml:space="preserve"> </v>
      </c>
      <c r="R107" s="49" t="str">
        <f>IF(A107=""," ",VLOOKUP(A107,'Профилиращ лист'!A:B,2,FALSE))</f>
        <v xml:space="preserve"> </v>
      </c>
    </row>
    <row r="108" spans="1:18" ht="18" hidden="1" customHeight="1" x14ac:dyDescent="0.25">
      <c r="A108" s="51"/>
      <c r="C108" s="53"/>
      <c r="K108" s="73">
        <f t="shared" si="26"/>
        <v>0</v>
      </c>
      <c r="L108" s="73">
        <f t="shared" si="27"/>
        <v>0</v>
      </c>
      <c r="M108" s="74">
        <f t="shared" si="28"/>
        <v>0</v>
      </c>
      <c r="N108" s="49" t="str">
        <f>IF(O108=""," ",VLOOKUP(O108,'[8]2012 личен състав ОТД'!$A:$AO,2,FALSE))</f>
        <v xml:space="preserve"> </v>
      </c>
      <c r="O108" s="48"/>
      <c r="P108" s="49" t="str">
        <f>IF(O108=""," ",VLOOKUP(O108,'[8]2012 личен състав ОТД'!$A:$AO,13,FALSE))</f>
        <v xml:space="preserve"> </v>
      </c>
      <c r="Q108" s="49" t="str">
        <f>IF(O108=""," ",VLOOKUP(O108,'[8]2012 личен състав ОТД'!$A:$AO,12,FALSE))</f>
        <v xml:space="preserve"> </v>
      </c>
      <c r="R108" s="49" t="str">
        <f>IF(A108=""," ",VLOOKUP(A108,'Профилиращ лист'!A:B,2,FALSE))</f>
        <v xml:space="preserve"> </v>
      </c>
    </row>
    <row r="109" spans="1:18" ht="18" hidden="1" customHeight="1" x14ac:dyDescent="0.25">
      <c r="A109" s="51"/>
      <c r="C109" s="53"/>
      <c r="K109" s="73">
        <f t="shared" si="26"/>
        <v>0</v>
      </c>
      <c r="L109" s="73">
        <f t="shared" si="27"/>
        <v>0</v>
      </c>
      <c r="M109" s="74">
        <f t="shared" si="28"/>
        <v>0</v>
      </c>
      <c r="N109" s="49" t="str">
        <f>IF(O109=""," ",VLOOKUP(O109,'[8]2012 личен състав ОТД'!$A:$AO,2,FALSE))</f>
        <v xml:space="preserve"> </v>
      </c>
      <c r="O109" s="48"/>
      <c r="P109" s="49" t="str">
        <f>IF(O109=""," ",VLOOKUP(O109,'[8]2012 личен състав ОТД'!$A:$AO,13,FALSE))</f>
        <v xml:space="preserve"> </v>
      </c>
      <c r="Q109" s="49" t="str">
        <f>IF(O109=""," ",VLOOKUP(O109,'[8]2012 личен състав ОТД'!$A:$AO,12,FALSE))</f>
        <v xml:space="preserve"> </v>
      </c>
      <c r="R109" s="49" t="str">
        <f>IF(A109=""," ",VLOOKUP(A109,'Профилиращ лист'!A:B,2,FALSE))</f>
        <v xml:space="preserve"> </v>
      </c>
    </row>
    <row r="110" spans="1:18" ht="18" hidden="1" customHeight="1" x14ac:dyDescent="0.25">
      <c r="A110" s="51"/>
      <c r="C110" s="53"/>
    </row>
    <row r="111" spans="1:18" ht="18" hidden="1" customHeight="1" x14ac:dyDescent="0.25">
      <c r="A111" s="51"/>
      <c r="C111" s="53"/>
    </row>
    <row r="112" spans="1:18" ht="18" hidden="1" customHeight="1" x14ac:dyDescent="0.25">
      <c r="A112" s="51"/>
      <c r="C112" s="53"/>
    </row>
    <row r="113" spans="1:3" ht="18" hidden="1" customHeight="1" x14ac:dyDescent="0.25">
      <c r="A113" s="51"/>
      <c r="C113" s="53"/>
    </row>
    <row r="114" spans="1:3" ht="18" hidden="1" customHeight="1" x14ac:dyDescent="0.25">
      <c r="A114" s="51"/>
      <c r="C114" s="53"/>
    </row>
    <row r="115" spans="1:3" ht="18" hidden="1" customHeight="1" x14ac:dyDescent="0.25">
      <c r="A115" s="51"/>
      <c r="C115" s="53"/>
    </row>
    <row r="116" spans="1:3" ht="18" hidden="1" customHeight="1" x14ac:dyDescent="0.25">
      <c r="A116" s="51"/>
      <c r="C116" s="53"/>
    </row>
    <row r="117" spans="1:3" ht="18" hidden="1" customHeight="1" x14ac:dyDescent="0.25">
      <c r="A117" s="51"/>
      <c r="C117" s="53"/>
    </row>
    <row r="118" spans="1:3" ht="18" hidden="1" customHeight="1" x14ac:dyDescent="0.25">
      <c r="A118" s="51"/>
      <c r="C118" s="53"/>
    </row>
    <row r="119" spans="1:3" ht="18" hidden="1" customHeight="1" x14ac:dyDescent="0.25">
      <c r="A119" s="51"/>
      <c r="C119" s="53"/>
    </row>
    <row r="120" spans="1:3" ht="18" hidden="1" customHeight="1" x14ac:dyDescent="0.25">
      <c r="A120" s="51"/>
      <c r="C120" s="53"/>
    </row>
    <row r="121" spans="1:3" ht="18" hidden="1" customHeight="1" x14ac:dyDescent="0.25">
      <c r="A121" s="51"/>
      <c r="C121" s="53"/>
    </row>
    <row r="122" spans="1:3" ht="18" hidden="1" customHeight="1" x14ac:dyDescent="0.25">
      <c r="A122" s="51"/>
      <c r="C122" s="53"/>
    </row>
  </sheetData>
  <autoFilter ref="A1:R122">
    <filterColumn colId="9">
      <filters>
        <filter val="1"/>
        <filter val="изпит"/>
        <filter val="т.о."/>
        <filter val="Ф"/>
      </filters>
    </filterColumn>
    <filterColumn colId="11">
      <filters>
        <filter val="1"/>
        <filter val="10"/>
        <filter val="15"/>
        <filter val="20"/>
        <filter val="22,5"/>
        <filter val="25"/>
        <filter val="30"/>
        <filter val="40"/>
        <filter val="50"/>
      </filters>
    </filterColumn>
  </autoFilter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2" fitToHeight="2" orientation="portrait" r:id="rId1"/>
  <headerFooter alignWithMargins="0">
    <oddHeader>&amp;LРедовно обучение,
бакалавърска степен&amp;C&amp;14УЧЕБЕН ПЛАН: &amp;A</oddHeader>
  </headerFooter>
  <rowBreaks count="1" manualBreakCount="1">
    <brk id="42" max="9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E108"/>
  <sheetViews>
    <sheetView zoomScale="70" zoomScaleNormal="70" zoomScaleSheetLayoutView="130" workbookViewId="0">
      <selection activeCell="T1" sqref="T1:T97"/>
    </sheetView>
  </sheetViews>
  <sheetFormatPr defaultRowHeight="15" customHeight="1" x14ac:dyDescent="0.25"/>
  <cols>
    <col min="1" max="1" width="59" style="8" customWidth="1"/>
    <col min="2" max="2" width="4.85546875" style="8" hidden="1" customWidth="1"/>
    <col min="3" max="8" width="4.7109375" style="4" hidden="1" customWidth="1"/>
    <col min="9" max="9" width="3.7109375" style="5" hidden="1" customWidth="1"/>
    <col min="10" max="10" width="6.85546875" style="10" hidden="1" customWidth="1"/>
    <col min="11" max="11" width="5.85546875" style="72" hidden="1" customWidth="1"/>
    <col min="12" max="13" width="5.85546875" style="73" hidden="1" customWidth="1"/>
    <col min="14" max="14" width="28.42578125" style="7" hidden="1" customWidth="1"/>
    <col min="15" max="15" width="13.28515625" style="7" hidden="1" customWidth="1"/>
    <col min="16" max="16" width="10.28515625" style="7" hidden="1" customWidth="1"/>
    <col min="17" max="17" width="10.7109375" style="7" hidden="1" customWidth="1"/>
    <col min="18" max="18" width="7.5703125" style="7" customWidth="1"/>
    <col min="19" max="20" width="14" style="7" customWidth="1"/>
    <col min="21" max="21" width="11.85546875" style="7" customWidth="1"/>
    <col min="22" max="16384" width="9.140625" style="7"/>
  </cols>
  <sheetData>
    <row r="1" spans="1:31" s="3" customForma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" t="s">
        <v>578</v>
      </c>
      <c r="T1" s="1" t="s">
        <v>629</v>
      </c>
      <c r="U1" s="111" t="s">
        <v>577</v>
      </c>
      <c r="V1" s="3" t="s">
        <v>255</v>
      </c>
      <c r="W1" s="3" t="s">
        <v>265</v>
      </c>
      <c r="X1" s="3" t="s">
        <v>253</v>
      </c>
      <c r="Y1" s="3" t="s">
        <v>263</v>
      </c>
      <c r="Z1" s="3" t="s">
        <v>272</v>
      </c>
      <c r="AA1" s="3" t="s">
        <v>406</v>
      </c>
      <c r="AB1" s="3" t="s">
        <v>573</v>
      </c>
      <c r="AC1" s="3" t="s">
        <v>607</v>
      </c>
      <c r="AD1" s="7" t="s">
        <v>575</v>
      </c>
      <c r="AE1" s="7" t="s">
        <v>576</v>
      </c>
    </row>
    <row r="2" spans="1:31" x14ac:dyDescent="0.25">
      <c r="A2" s="1" t="s">
        <v>10</v>
      </c>
      <c r="B2" s="1"/>
      <c r="J2" s="6">
        <v>1</v>
      </c>
      <c r="L2" s="73">
        <v>1</v>
      </c>
      <c r="O2" s="7">
        <f ca="1">YEAR(TODAY())</f>
        <v>2013</v>
      </c>
      <c r="P2" s="7">
        <f ca="1">O2-(AVERAGEIFS(P:P,L:L,"&gt;0",Q:Q,"ОТД"))</f>
        <v>58.384615384615472</v>
      </c>
      <c r="T2" s="7">
        <f ca="1">YEAR(TODAY())</f>
        <v>2013</v>
      </c>
      <c r="V2" s="7">
        <f ca="1">COUNTIFS(P:P,"&gt;1900",R:R,"СПЕ")</f>
        <v>23</v>
      </c>
      <c r="W2" s="7">
        <f ca="1">COUNTIFS(P:P,"&gt;1900",R:R,"ОФД")</f>
        <v>8</v>
      </c>
      <c r="X2" s="7">
        <f ca="1">COUNTIFS(P:P,"&gt;1900",R:R,"ПЕД")</f>
        <v>5</v>
      </c>
      <c r="Y2" s="7">
        <f>COUNTIF(R:R,"ПРА")</f>
        <v>8</v>
      </c>
      <c r="Z2" s="7">
        <f>COUNTIF(R:R,"ИЗБ")</f>
        <v>5</v>
      </c>
      <c r="AA2" s="7">
        <f>COUNTIF(R:R,"ФД")</f>
        <v>4</v>
      </c>
      <c r="AB2" s="7">
        <f ca="1">SUBTOTAL(9,V2:AA2)</f>
        <v>53</v>
      </c>
      <c r="AC2" s="7">
        <f ca="1">V2/AB2</f>
        <v>0.43396226415094341</v>
      </c>
      <c r="AD2" s="7">
        <f>(COUNTIFS(N:N,"проф.*",Q:Q,"ОТД")+COUNTIFS(N:N,"доц.*",Q:Q,"ОТД"))/COUNTIF(Q:Q,"ОТД")</f>
        <v>0.76923076923076927</v>
      </c>
      <c r="AE2" s="7">
        <f ca="1">COUNTIF(S:S,"У")/V2</f>
        <v>0</v>
      </c>
    </row>
    <row r="3" spans="1:31" x14ac:dyDescent="0.25">
      <c r="A3" s="8" t="s">
        <v>11</v>
      </c>
      <c r="B3" s="4">
        <v>30</v>
      </c>
      <c r="C3" s="4">
        <v>30</v>
      </c>
      <c r="D3" s="4">
        <v>30</v>
      </c>
      <c r="E3" s="4">
        <v>0</v>
      </c>
      <c r="F3" s="4">
        <v>0</v>
      </c>
      <c r="G3" s="4">
        <f>H3-C3</f>
        <v>60</v>
      </c>
      <c r="H3" s="4">
        <f>I3*30</f>
        <v>90</v>
      </c>
      <c r="I3" s="4">
        <v>3</v>
      </c>
      <c r="J3" s="4" t="s">
        <v>12</v>
      </c>
      <c r="K3" s="73">
        <f t="shared" ref="K3:K34" si="0">SUMIF(A:A,A3,C:C)</f>
        <v>30</v>
      </c>
      <c r="L3" s="73">
        <f t="shared" ref="L3:L34" si="1">SUMIF(A:A,A3,D:D)</f>
        <v>30</v>
      </c>
      <c r="M3" s="73">
        <f t="shared" ref="M3:M34" si="2">SUMIF(A:A,A3,E:E)+SUMIF(A:A,A3,F:F)</f>
        <v>0</v>
      </c>
      <c r="N3" s="7" t="str">
        <f>IF(O3=""," ",VLOOKUP(O3,'[8]2012 личен състав ОТД'!$A:$AO,2,FALSE))</f>
        <v>доц. д-р Красимира Кръстанова</v>
      </c>
      <c r="O3" s="3" t="s">
        <v>455</v>
      </c>
      <c r="P3" s="7">
        <f>IF(O3=""," ",VLOOKUP(O3,'[8]2012 личен състав ОТД'!$A:$AO,13,FALSE))</f>
        <v>1958</v>
      </c>
      <c r="Q3" s="3" t="str">
        <f>IF(O3=""," ",VLOOKUP(O3,'[8]2012 личен състав ОТД'!$A:$AO,12,FALSE))</f>
        <v>ОТД</v>
      </c>
      <c r="R3" s="57" t="str">
        <f>IF(A3=""," ",VLOOKUP(A3,'Профилиращ лист'!A:B,2,FALSE))</f>
        <v>СПЕ</v>
      </c>
      <c r="S3" s="57"/>
      <c r="T3" s="57">
        <f t="shared" ref="T3:T34" ca="1" si="3">Години-P3</f>
        <v>55</v>
      </c>
      <c r="U3" s="57"/>
    </row>
    <row r="4" spans="1:31" ht="17.100000000000001" customHeight="1" x14ac:dyDescent="0.25">
      <c r="A4" s="8" t="s">
        <v>13</v>
      </c>
      <c r="B4" s="4">
        <v>45</v>
      </c>
      <c r="C4" s="4">
        <v>45</v>
      </c>
      <c r="D4" s="4">
        <v>15</v>
      </c>
      <c r="E4" s="4">
        <v>30</v>
      </c>
      <c r="F4" s="4">
        <v>0</v>
      </c>
      <c r="G4" s="4">
        <f t="shared" ref="G4:G10" si="4">H4-C4</f>
        <v>75</v>
      </c>
      <c r="H4" s="4">
        <f t="shared" ref="H4:H10" si="5">I4*30</f>
        <v>120</v>
      </c>
      <c r="I4" s="4">
        <v>4</v>
      </c>
      <c r="J4" s="4" t="s">
        <v>14</v>
      </c>
      <c r="K4" s="73">
        <f t="shared" si="0"/>
        <v>90</v>
      </c>
      <c r="L4" s="73">
        <f t="shared" si="1"/>
        <v>30</v>
      </c>
      <c r="M4" s="73">
        <f t="shared" si="2"/>
        <v>60</v>
      </c>
      <c r="N4" s="7" t="str">
        <f>IF(O4=""," ",VLOOKUP(O4,'[8]2012 личен състав ОТД'!$A:$AO,2,FALSE))</f>
        <v xml:space="preserve"> </v>
      </c>
      <c r="O4" s="3"/>
      <c r="P4" s="7" t="str">
        <f>IF(O4=""," ",VLOOKUP(O4,'[8]2012 личен състав ОТД'!$A:$AO,13,FALSE))</f>
        <v xml:space="preserve"> </v>
      </c>
      <c r="Q4" s="3" t="str">
        <f>IF(O4=""," ",VLOOKUP(O4,'[8]2012 личен състав ОТД'!$A:$AO,12,FALSE))</f>
        <v xml:space="preserve"> </v>
      </c>
      <c r="R4" s="57" t="str">
        <f>IF(A4=""," ",VLOOKUP(A4,'Профилиращ лист'!A:B,2,FALSE))</f>
        <v>ОФД</v>
      </c>
      <c r="S4" s="57"/>
      <c r="T4" s="57" t="e">
        <f t="shared" ca="1" si="3"/>
        <v>#VALUE!</v>
      </c>
      <c r="U4" s="57"/>
      <c r="V4" s="7">
        <f>COUNTIF(N:N,"проф.*")</f>
        <v>8</v>
      </c>
      <c r="W4" s="7">
        <f>COUNTIF(N:N,"доц.*")</f>
        <v>22</v>
      </c>
      <c r="X4" s="7">
        <f>COUNTIF(N:N,"*ас. д-р*")</f>
        <v>9</v>
      </c>
      <c r="Y4" s="7">
        <f>COUNTIF(N:N,"гл. ас.*")-X4</f>
        <v>0</v>
      </c>
      <c r="Z4" s="7">
        <f>COUNTIF(N:N,"ас.*")</f>
        <v>0</v>
      </c>
      <c r="AA4" s="7">
        <f>SUM(V4:Z4)</f>
        <v>39</v>
      </c>
    </row>
    <row r="5" spans="1:31" ht="17.100000000000001" customHeight="1" x14ac:dyDescent="0.25">
      <c r="A5" s="8" t="s">
        <v>15</v>
      </c>
      <c r="B5" s="8">
        <v>90</v>
      </c>
      <c r="C5" s="4">
        <v>90</v>
      </c>
      <c r="D5" s="4">
        <v>0</v>
      </c>
      <c r="E5" s="4">
        <v>0</v>
      </c>
      <c r="F5" s="4">
        <v>90</v>
      </c>
      <c r="G5" s="4">
        <f t="shared" si="4"/>
        <v>120</v>
      </c>
      <c r="H5" s="4">
        <f t="shared" si="5"/>
        <v>210</v>
      </c>
      <c r="I5" s="4">
        <v>7</v>
      </c>
      <c r="J5" s="4" t="s">
        <v>14</v>
      </c>
      <c r="K5" s="73">
        <f t="shared" si="0"/>
        <v>690</v>
      </c>
      <c r="L5" s="73">
        <f t="shared" si="1"/>
        <v>0</v>
      </c>
      <c r="M5" s="73">
        <f t="shared" si="2"/>
        <v>675</v>
      </c>
      <c r="N5" s="7" t="str">
        <f>IF(O5=""," ",VLOOKUP(O5,'[8]2012 личен състав ОТД'!$A:$AO,2,FALSE))</f>
        <v xml:space="preserve"> </v>
      </c>
      <c r="O5" s="3"/>
      <c r="P5" s="7" t="str">
        <f>IF(O5=""," ",VLOOKUP(O5,'[8]2012 личен състав ОТД'!$A:$AO,13,FALSE))</f>
        <v xml:space="preserve"> </v>
      </c>
      <c r="Q5" s="3" t="str">
        <f>IF(O5=""," ",VLOOKUP(O5,'[8]2012 личен състав ОТД'!$A:$AO,12,FALSE))</f>
        <v xml:space="preserve"> </v>
      </c>
      <c r="R5" s="57" t="str">
        <f>IF(A5=""," ",VLOOKUP(A5,'Профилиращ лист'!A:B,2,FALSE))</f>
        <v>ПРА</v>
      </c>
      <c r="S5" s="57"/>
      <c r="T5" s="57" t="e">
        <f t="shared" ca="1" si="3"/>
        <v>#VALUE!</v>
      </c>
      <c r="U5" s="57"/>
    </row>
    <row r="6" spans="1:31" x14ac:dyDescent="0.25">
      <c r="A6" s="8" t="s">
        <v>16</v>
      </c>
      <c r="B6" s="8">
        <v>30</v>
      </c>
      <c r="C6" s="4">
        <v>30</v>
      </c>
      <c r="D6" s="4">
        <v>15</v>
      </c>
      <c r="E6" s="4">
        <v>15</v>
      </c>
      <c r="F6" s="4">
        <v>0</v>
      </c>
      <c r="G6" s="4">
        <f t="shared" si="4"/>
        <v>60</v>
      </c>
      <c r="H6" s="4">
        <f t="shared" si="5"/>
        <v>90</v>
      </c>
      <c r="I6" s="4">
        <v>3</v>
      </c>
      <c r="J6" s="4" t="s">
        <v>12</v>
      </c>
      <c r="K6" s="73">
        <f t="shared" si="0"/>
        <v>30</v>
      </c>
      <c r="L6" s="73">
        <f t="shared" si="1"/>
        <v>15</v>
      </c>
      <c r="M6" s="73">
        <f t="shared" si="2"/>
        <v>15</v>
      </c>
      <c r="N6" s="7" t="str">
        <f>IF(O6=""," ",VLOOKUP(O6,'[8]2012 личен състав ОТД'!$A:$AO,2,FALSE))</f>
        <v>доц. д-р Дейвид Дженкинс</v>
      </c>
      <c r="O6" s="3" t="s">
        <v>481</v>
      </c>
      <c r="P6" s="7">
        <f>IF(O6=""," ",VLOOKUP(O6,'[8]2012 личен състав ОТД'!$A:$AO,13,FALSE))</f>
        <v>1947</v>
      </c>
      <c r="Q6" s="3" t="str">
        <f>IF(O6=""," ",VLOOKUP(O6,'[8]2012 личен състав ОТД'!$A:$AO,12,FALSE))</f>
        <v>ОТД</v>
      </c>
      <c r="R6" s="57" t="str">
        <f>IF(A6=""," ",VLOOKUP(A6,'Профилиращ лист'!A:B,2,FALSE))</f>
        <v>СПЕ</v>
      </c>
      <c r="S6" s="57"/>
      <c r="T6" s="57">
        <f t="shared" ca="1" si="3"/>
        <v>66</v>
      </c>
      <c r="U6" s="57"/>
    </row>
    <row r="7" spans="1:31" x14ac:dyDescent="0.25">
      <c r="A7" s="8" t="s">
        <v>17</v>
      </c>
      <c r="B7" s="4">
        <v>15</v>
      </c>
      <c r="C7" s="4">
        <v>30</v>
      </c>
      <c r="D7" s="4">
        <v>0</v>
      </c>
      <c r="E7" s="4">
        <v>30</v>
      </c>
      <c r="F7" s="4">
        <v>0</v>
      </c>
      <c r="G7" s="4">
        <f t="shared" si="4"/>
        <v>60</v>
      </c>
      <c r="H7" s="4">
        <f t="shared" si="5"/>
        <v>90</v>
      </c>
      <c r="I7" s="4">
        <v>3</v>
      </c>
      <c r="J7" s="4" t="s">
        <v>18</v>
      </c>
      <c r="K7" s="73">
        <f t="shared" si="0"/>
        <v>30</v>
      </c>
      <c r="L7" s="73">
        <f t="shared" si="1"/>
        <v>0</v>
      </c>
      <c r="M7" s="73">
        <f t="shared" si="2"/>
        <v>30</v>
      </c>
      <c r="N7" s="7" t="str">
        <f>IF(O7=""," ",VLOOKUP(O7,'[8]2012 личен състав ОТД'!$A:$AO,2,FALSE))</f>
        <v xml:space="preserve"> </v>
      </c>
      <c r="O7" s="3"/>
      <c r="P7" s="7" t="str">
        <f>IF(O7=""," ",VLOOKUP(O7,'[8]2012 личен състав ОТД'!$A:$AO,13,FALSE))</f>
        <v xml:space="preserve"> </v>
      </c>
      <c r="Q7" s="3" t="str">
        <f>IF(O7=""," ",VLOOKUP(O7,'[8]2012 личен състав ОТД'!$A:$AO,12,FALSE))</f>
        <v xml:space="preserve"> </v>
      </c>
      <c r="R7" s="57" t="str">
        <f>IF(A7=""," ",VLOOKUP(A7,'Профилиращ лист'!A:B,2,FALSE))</f>
        <v>ИЗБ</v>
      </c>
      <c r="S7" s="57"/>
      <c r="T7" s="57" t="e">
        <f t="shared" ca="1" si="3"/>
        <v>#VALUE!</v>
      </c>
      <c r="U7" s="57"/>
    </row>
    <row r="8" spans="1:31" x14ac:dyDescent="0.25">
      <c r="A8" s="8" t="s">
        <v>19</v>
      </c>
      <c r="B8" s="4">
        <v>45</v>
      </c>
      <c r="C8" s="4">
        <v>60</v>
      </c>
      <c r="D8" s="4">
        <v>45</v>
      </c>
      <c r="E8" s="4">
        <v>15</v>
      </c>
      <c r="F8" s="4">
        <v>0</v>
      </c>
      <c r="G8" s="4">
        <f t="shared" si="4"/>
        <v>60</v>
      </c>
      <c r="H8" s="4">
        <f t="shared" si="5"/>
        <v>120</v>
      </c>
      <c r="I8" s="4">
        <v>4</v>
      </c>
      <c r="J8" s="4" t="s">
        <v>12</v>
      </c>
      <c r="K8" s="73">
        <f t="shared" si="0"/>
        <v>60</v>
      </c>
      <c r="L8" s="73">
        <f t="shared" si="1"/>
        <v>45</v>
      </c>
      <c r="M8" s="73">
        <f t="shared" si="2"/>
        <v>15</v>
      </c>
      <c r="N8" s="7" t="str">
        <f>IF(O8=""," ",VLOOKUP(O8,'[8]2012 личен състав ОТД'!$A:$AO,2,FALSE))</f>
        <v>доц. д-р Атанас Бучков</v>
      </c>
      <c r="O8" s="3" t="s">
        <v>482</v>
      </c>
      <c r="P8" s="7">
        <f>IF(O8=""," ",VLOOKUP(O8,'[8]2012 личен състав ОТД'!$A:$AO,13,FALSE))</f>
        <v>1949</v>
      </c>
      <c r="Q8" s="3" t="str">
        <f>IF(O8=""," ",VLOOKUP(O8,'[8]2012 личен състав ОТД'!$A:$AO,12,FALSE))</f>
        <v>ОТД</v>
      </c>
      <c r="R8" s="57" t="str">
        <f>IF(A8=""," ",VLOOKUP(A8,'Профилиращ лист'!A:B,2,FALSE))</f>
        <v>ОФД</v>
      </c>
      <c r="S8" s="57"/>
      <c r="T8" s="57">
        <f t="shared" ca="1" si="3"/>
        <v>64</v>
      </c>
      <c r="U8" s="57"/>
    </row>
    <row r="9" spans="1:31" x14ac:dyDescent="0.25">
      <c r="A9" s="8" t="s">
        <v>20</v>
      </c>
      <c r="B9" s="4">
        <v>45</v>
      </c>
      <c r="C9" s="4">
        <v>60</v>
      </c>
      <c r="D9" s="4">
        <v>45</v>
      </c>
      <c r="E9" s="4">
        <v>15</v>
      </c>
      <c r="F9" s="4">
        <v>0</v>
      </c>
      <c r="G9" s="4">
        <f t="shared" si="4"/>
        <v>60</v>
      </c>
      <c r="H9" s="4">
        <f t="shared" si="5"/>
        <v>120</v>
      </c>
      <c r="I9" s="4">
        <v>4</v>
      </c>
      <c r="J9" s="4" t="s">
        <v>12</v>
      </c>
      <c r="K9" s="73">
        <f t="shared" si="0"/>
        <v>60</v>
      </c>
      <c r="L9" s="73">
        <f t="shared" si="1"/>
        <v>45</v>
      </c>
      <c r="M9" s="73">
        <f t="shared" si="2"/>
        <v>15</v>
      </c>
      <c r="N9" s="7" t="str">
        <f>IF(O9=""," ",VLOOKUP(O9,'[8]2012 личен състав ОТД'!$A:$AO,2,FALSE))</f>
        <v>доц. д-р Иван Чобанов</v>
      </c>
      <c r="O9" s="3" t="s">
        <v>459</v>
      </c>
      <c r="P9" s="7">
        <f>IF(O9=""," ",VLOOKUP(O9,'[8]2012 личен състав ОТД'!$A:$AO,13,FALSE))</f>
        <v>1949</v>
      </c>
      <c r="Q9" s="3" t="str">
        <f>IF(O9=""," ",VLOOKUP(O9,'[8]2012 личен състав ОТД'!$A:$AO,12,FALSE))</f>
        <v>ОТД</v>
      </c>
      <c r="R9" s="57" t="str">
        <f>IF(A9=""," ",VLOOKUP(A9,'Профилиращ лист'!A:B,2,FALSE))</f>
        <v>ОФД</v>
      </c>
      <c r="S9" s="57"/>
      <c r="T9" s="57">
        <f t="shared" ca="1" si="3"/>
        <v>64</v>
      </c>
      <c r="U9" s="57"/>
    </row>
    <row r="10" spans="1:31" x14ac:dyDescent="0.25">
      <c r="A10" s="8" t="s">
        <v>21</v>
      </c>
      <c r="B10" s="4">
        <v>15</v>
      </c>
      <c r="C10" s="4">
        <v>30</v>
      </c>
      <c r="D10" s="4">
        <v>0</v>
      </c>
      <c r="E10" s="4">
        <v>0</v>
      </c>
      <c r="F10" s="4">
        <v>30</v>
      </c>
      <c r="G10" s="4">
        <f t="shared" si="4"/>
        <v>30</v>
      </c>
      <c r="H10" s="4">
        <f t="shared" si="5"/>
        <v>60</v>
      </c>
      <c r="I10" s="4">
        <v>2</v>
      </c>
      <c r="J10" s="4" t="s">
        <v>18</v>
      </c>
      <c r="K10" s="73">
        <f t="shared" si="0"/>
        <v>30</v>
      </c>
      <c r="L10" s="73">
        <f t="shared" si="1"/>
        <v>0</v>
      </c>
      <c r="M10" s="73">
        <f t="shared" si="2"/>
        <v>30</v>
      </c>
      <c r="N10" s="7" t="str">
        <f>IF(O10=""," ",VLOOKUP(O10,'[8]2012 личен състав ОТД'!$A:$AO,2,FALSE))</f>
        <v xml:space="preserve"> </v>
      </c>
      <c r="O10" s="3"/>
      <c r="P10" s="7" t="str">
        <f>IF(O10=""," ",VLOOKUP(O10,'[8]2012 личен състав ОТД'!$A:$AO,13,FALSE))</f>
        <v xml:space="preserve"> </v>
      </c>
      <c r="Q10" s="3" t="str">
        <f>IF(O10=""," ",VLOOKUP(O10,'[8]2012 личен състав ОТД'!$A:$AO,12,FALSE))</f>
        <v xml:space="preserve"> </v>
      </c>
      <c r="R10" s="57" t="str">
        <f>IF(A10=""," ",VLOOKUP(A10,'Профилиращ лист'!A:B,2,FALSE))</f>
        <v>ФД</v>
      </c>
      <c r="S10" s="57"/>
      <c r="T10" s="57" t="e">
        <f t="shared" ca="1" si="3"/>
        <v>#VALUE!</v>
      </c>
      <c r="U10" s="57"/>
    </row>
    <row r="11" spans="1:31" x14ac:dyDescent="0.25">
      <c r="B11" s="9">
        <f t="shared" ref="B11:H11" si="6">SUM(B3:B10)</f>
        <v>315</v>
      </c>
      <c r="C11" s="9">
        <f t="shared" si="6"/>
        <v>375</v>
      </c>
      <c r="D11" s="9">
        <f t="shared" si="6"/>
        <v>150</v>
      </c>
      <c r="E11" s="9">
        <f t="shared" si="6"/>
        <v>105</v>
      </c>
      <c r="F11" s="9">
        <f t="shared" si="6"/>
        <v>120</v>
      </c>
      <c r="G11" s="9">
        <f t="shared" si="6"/>
        <v>525</v>
      </c>
      <c r="H11" s="9">
        <f t="shared" si="6"/>
        <v>900</v>
      </c>
      <c r="I11" s="9">
        <f>SUM(I3:I10)</f>
        <v>30</v>
      </c>
      <c r="J11" s="6"/>
      <c r="K11" s="73">
        <f t="shared" si="0"/>
        <v>0</v>
      </c>
      <c r="L11" s="73">
        <f t="shared" si="1"/>
        <v>0</v>
      </c>
      <c r="M11" s="73">
        <f t="shared" si="2"/>
        <v>0</v>
      </c>
      <c r="N11" s="7" t="str">
        <f>IF(O11=""," ",VLOOKUP(O11,'[8]2012 личен състав ОТД'!$A:$AO,2,FALSE))</f>
        <v xml:space="preserve"> </v>
      </c>
      <c r="O11" s="3"/>
      <c r="P11" s="7" t="str">
        <f>IF(O11=""," ",VLOOKUP(O11,'[8]2012 личен състав ОТД'!$A:$AO,13,FALSE))</f>
        <v xml:space="preserve"> </v>
      </c>
      <c r="Q11" s="3" t="str">
        <f>IF(O11=""," ",VLOOKUP(O11,'[8]2012 личен състав ОТД'!$A:$AO,12,FALSE))</f>
        <v xml:space="preserve"> </v>
      </c>
      <c r="R11" s="57" t="str">
        <f>IF(A11=""," ",VLOOKUP(A11,'Профилиращ лист'!A:B,2,FALSE))</f>
        <v xml:space="preserve"> </v>
      </c>
      <c r="S11" s="57"/>
      <c r="T11" s="57" t="e">
        <f t="shared" ca="1" si="3"/>
        <v>#VALUE!</v>
      </c>
      <c r="U11" s="57"/>
    </row>
    <row r="12" spans="1:31" x14ac:dyDescent="0.25">
      <c r="A12" s="1" t="s">
        <v>22</v>
      </c>
      <c r="B12" s="1"/>
      <c r="J12" s="6"/>
      <c r="K12" s="73">
        <f t="shared" si="0"/>
        <v>0</v>
      </c>
      <c r="L12" s="73">
        <f t="shared" si="1"/>
        <v>0</v>
      </c>
      <c r="M12" s="73">
        <f t="shared" si="2"/>
        <v>0</v>
      </c>
      <c r="N12" s="7" t="str">
        <f>IF(O12=""," ",VLOOKUP(O12,'[8]2012 личен състав ОТД'!$A:$AO,2,FALSE))</f>
        <v xml:space="preserve"> </v>
      </c>
      <c r="O12" s="3"/>
      <c r="P12" s="7" t="str">
        <f>IF(O12=""," ",VLOOKUP(O12,'[8]2012 личен състав ОТД'!$A:$AO,13,FALSE))</f>
        <v xml:space="preserve"> </v>
      </c>
      <c r="Q12" s="3" t="str">
        <f>IF(O12=""," ",VLOOKUP(O12,'[8]2012 личен състав ОТД'!$A:$AO,12,FALSE))</f>
        <v xml:space="preserve"> </v>
      </c>
      <c r="R12" s="57" t="e">
        <f>IF(A12=""," ",VLOOKUP(A12,'Профилиращ лист'!A:B,2,FALSE))</f>
        <v>#N/A</v>
      </c>
      <c r="S12" s="57"/>
      <c r="T12" s="57" t="e">
        <f t="shared" ca="1" si="3"/>
        <v>#VALUE!</v>
      </c>
      <c r="U12" s="57"/>
    </row>
    <row r="13" spans="1:31" x14ac:dyDescent="0.25">
      <c r="A13" s="8" t="s">
        <v>23</v>
      </c>
      <c r="B13" s="4">
        <v>45</v>
      </c>
      <c r="C13" s="4">
        <v>60</v>
      </c>
      <c r="D13" s="4">
        <v>45</v>
      </c>
      <c r="E13" s="4">
        <v>15</v>
      </c>
      <c r="F13" s="4">
        <v>0</v>
      </c>
      <c r="G13" s="4">
        <f>H13-C13</f>
        <v>90</v>
      </c>
      <c r="H13" s="4">
        <f>I13*30</f>
        <v>150</v>
      </c>
      <c r="I13" s="4">
        <v>5</v>
      </c>
      <c r="J13" s="4" t="s">
        <v>12</v>
      </c>
      <c r="K13" s="73">
        <f t="shared" si="0"/>
        <v>60</v>
      </c>
      <c r="L13" s="73">
        <f t="shared" si="1"/>
        <v>45</v>
      </c>
      <c r="M13" s="73">
        <f t="shared" si="2"/>
        <v>15</v>
      </c>
      <c r="N13" s="7" t="str">
        <f>IF(O13=""," ",VLOOKUP(O13,'[8]2012 личен състав ОТД'!$A:$AO,2,FALSE))</f>
        <v>доц. д-р Мария Йовчева</v>
      </c>
      <c r="O13" s="3" t="s">
        <v>460</v>
      </c>
      <c r="P13" s="7">
        <f>IF(O13=""," ",VLOOKUP(O13,'[8]2012 личен състав ОТД'!$A:$AO,13,FALSE))</f>
        <v>1959</v>
      </c>
      <c r="Q13" s="3" t="str">
        <f>IF(O13=""," ",VLOOKUP(O13,'[8]2012 личен състав ОТД'!$A:$AO,12,FALSE))</f>
        <v>ОТД</v>
      </c>
      <c r="R13" s="57" t="str">
        <f>IF(A13=""," ",VLOOKUP(A13,'Профилиращ лист'!A:B,2,FALSE))</f>
        <v>СПЕ</v>
      </c>
      <c r="S13" s="57"/>
      <c r="T13" s="57">
        <f t="shared" ca="1" si="3"/>
        <v>54</v>
      </c>
      <c r="U13" s="57"/>
    </row>
    <row r="14" spans="1:31" x14ac:dyDescent="0.25">
      <c r="A14" s="8" t="s">
        <v>13</v>
      </c>
      <c r="B14" s="4">
        <v>30</v>
      </c>
      <c r="C14" s="4">
        <v>45</v>
      </c>
      <c r="D14" s="4">
        <v>15</v>
      </c>
      <c r="E14" s="4">
        <v>30</v>
      </c>
      <c r="F14" s="4">
        <v>0</v>
      </c>
      <c r="G14" s="4">
        <f t="shared" ref="G14:G20" si="7">H14-C14</f>
        <v>75</v>
      </c>
      <c r="H14" s="4">
        <f t="shared" ref="H14:H20" si="8">I14*30</f>
        <v>120</v>
      </c>
      <c r="I14" s="4">
        <v>4</v>
      </c>
      <c r="J14" s="4" t="s">
        <v>12</v>
      </c>
      <c r="K14" s="73">
        <f t="shared" si="0"/>
        <v>90</v>
      </c>
      <c r="L14" s="73">
        <f t="shared" si="1"/>
        <v>30</v>
      </c>
      <c r="M14" s="73">
        <f t="shared" si="2"/>
        <v>60</v>
      </c>
      <c r="N14" s="7" t="str">
        <f>IF(O14=""," ",VLOOKUP(O14,'[8]2012 личен състав ОТД'!$A:$AO,2,FALSE))</f>
        <v>проф. д-р Пеньо Пенев</v>
      </c>
      <c r="O14" s="3" t="s">
        <v>483</v>
      </c>
      <c r="P14" s="7">
        <f>IF(O14=""," ",VLOOKUP(O14,'[8]2012 личен състав ОТД'!$A:$AO,13,FALSE))</f>
        <v>1946</v>
      </c>
      <c r="Q14" s="3" t="str">
        <f>IF(O14=""," ",VLOOKUP(O14,'[8]2012 личен състав ОТД'!$A:$AO,12,FALSE))</f>
        <v>ОТД</v>
      </c>
      <c r="R14" s="57" t="str">
        <f>IF(A14=""," ",VLOOKUP(A14,'Профилиращ лист'!A:B,2,FALSE))</f>
        <v>ОФД</v>
      </c>
      <c r="S14" s="57"/>
      <c r="T14" s="57">
        <f t="shared" ca="1" si="3"/>
        <v>67</v>
      </c>
      <c r="U14" s="57"/>
    </row>
    <row r="15" spans="1:31" x14ac:dyDescent="0.25">
      <c r="A15" s="8" t="s">
        <v>24</v>
      </c>
      <c r="B15" s="8">
        <v>30</v>
      </c>
      <c r="C15" s="4">
        <v>30</v>
      </c>
      <c r="D15" s="4">
        <v>30</v>
      </c>
      <c r="E15" s="4">
        <v>0</v>
      </c>
      <c r="F15" s="4">
        <v>0</v>
      </c>
      <c r="G15" s="4">
        <f t="shared" si="7"/>
        <v>60</v>
      </c>
      <c r="H15" s="4">
        <f t="shared" si="8"/>
        <v>90</v>
      </c>
      <c r="I15" s="4">
        <v>3</v>
      </c>
      <c r="J15" s="4" t="s">
        <v>12</v>
      </c>
      <c r="K15" s="73">
        <f t="shared" si="0"/>
        <v>30</v>
      </c>
      <c r="L15" s="73">
        <f t="shared" si="1"/>
        <v>30</v>
      </c>
      <c r="M15" s="73">
        <f t="shared" si="2"/>
        <v>0</v>
      </c>
      <c r="N15" s="7" t="str">
        <f>IF(O15=""," ",VLOOKUP(O15,'[8]2012 личен състав ОТД'!$A:$AO,2,FALSE))</f>
        <v>доц. д-р Станка Козарова</v>
      </c>
      <c r="O15" s="3" t="s">
        <v>462</v>
      </c>
      <c r="P15" s="7">
        <f>IF(O15=""," ",VLOOKUP(O15,'[8]2012 личен състав ОТД'!$A:$AO,13,FALSE))</f>
        <v>1959</v>
      </c>
      <c r="Q15" s="3" t="str">
        <f>IF(O15=""," ",VLOOKUP(O15,'[8]2012 личен състав ОТД'!$A:$AO,12,FALSE))</f>
        <v>ОТД</v>
      </c>
      <c r="R15" s="57" t="str">
        <f>IF(A15=""," ",VLOOKUP(A15,'Профилиращ лист'!A:B,2,FALSE))</f>
        <v>ОФД</v>
      </c>
      <c r="S15" s="57"/>
      <c r="T15" s="57">
        <f t="shared" ca="1" si="3"/>
        <v>54</v>
      </c>
      <c r="U15" s="57"/>
    </row>
    <row r="16" spans="1:31" x14ac:dyDescent="0.25">
      <c r="A16" s="8" t="s">
        <v>15</v>
      </c>
      <c r="B16" s="8">
        <v>90</v>
      </c>
      <c r="C16" s="4">
        <v>150</v>
      </c>
      <c r="D16" s="4">
        <v>0</v>
      </c>
      <c r="E16" s="4">
        <v>0</v>
      </c>
      <c r="F16" s="4">
        <v>150</v>
      </c>
      <c r="G16" s="4">
        <f t="shared" si="7"/>
        <v>60</v>
      </c>
      <c r="H16" s="4">
        <f t="shared" si="8"/>
        <v>210</v>
      </c>
      <c r="I16" s="4">
        <v>7</v>
      </c>
      <c r="J16" s="4" t="s">
        <v>12</v>
      </c>
      <c r="K16" s="73">
        <f t="shared" si="0"/>
        <v>690</v>
      </c>
      <c r="L16" s="73">
        <f t="shared" si="1"/>
        <v>0</v>
      </c>
      <c r="M16" s="73">
        <f t="shared" si="2"/>
        <v>675</v>
      </c>
      <c r="N16" s="7" t="str">
        <f>IF(O16=""," ",VLOOKUP(O16,'[8]2012 личен състав ОТД'!$A:$AO,2,FALSE))</f>
        <v xml:space="preserve"> </v>
      </c>
      <c r="O16" s="3"/>
      <c r="P16" s="7" t="str">
        <f>IF(O16=""," ",VLOOKUP(O16,'[8]2012 личен състав ОТД'!$A:$AO,13,FALSE))</f>
        <v xml:space="preserve"> </v>
      </c>
      <c r="Q16" s="3" t="str">
        <f>IF(O16=""," ",VLOOKUP(O16,'[8]2012 личен състав ОТД'!$A:$AO,12,FALSE))</f>
        <v xml:space="preserve"> </v>
      </c>
      <c r="R16" s="57" t="str">
        <f>IF(A16=""," ",VLOOKUP(A16,'Профилиращ лист'!A:B,2,FALSE))</f>
        <v>ПРА</v>
      </c>
      <c r="S16" s="57"/>
      <c r="T16" s="57" t="e">
        <f t="shared" ca="1" si="3"/>
        <v>#VALUE!</v>
      </c>
      <c r="U16" s="57"/>
    </row>
    <row r="17" spans="1:21" x14ac:dyDescent="0.25">
      <c r="A17" s="8" t="s">
        <v>25</v>
      </c>
      <c r="B17" s="8">
        <v>30</v>
      </c>
      <c r="C17" s="4">
        <v>45</v>
      </c>
      <c r="D17" s="4">
        <v>30</v>
      </c>
      <c r="E17" s="4">
        <v>15</v>
      </c>
      <c r="F17" s="4">
        <v>0</v>
      </c>
      <c r="G17" s="4">
        <f t="shared" si="7"/>
        <v>75</v>
      </c>
      <c r="H17" s="4">
        <f t="shared" si="8"/>
        <v>120</v>
      </c>
      <c r="I17" s="4">
        <v>4</v>
      </c>
      <c r="J17" s="4" t="s">
        <v>12</v>
      </c>
      <c r="K17" s="73">
        <f t="shared" si="0"/>
        <v>45</v>
      </c>
      <c r="L17" s="73">
        <f t="shared" si="1"/>
        <v>30</v>
      </c>
      <c r="M17" s="73">
        <f t="shared" si="2"/>
        <v>15</v>
      </c>
      <c r="N17" s="7" t="str">
        <f>IF(O17=""," ",VLOOKUP(O17,'[8]2012 личен състав ОТД'!$A:$AO,2,FALSE))</f>
        <v>доц. д-р Михаил Грънчаров</v>
      </c>
      <c r="O17" s="3" t="s">
        <v>484</v>
      </c>
      <c r="P17" s="7">
        <f>IF(O17=""," ",VLOOKUP(O17,'[8]2012 личен състав ОТД'!$A:$AO,13,FALSE))</f>
        <v>1946</v>
      </c>
      <c r="Q17" s="3" t="str">
        <f>IF(O17=""," ",VLOOKUP(O17,'[8]2012 личен състав ОТД'!$A:$AO,12,FALSE))</f>
        <v>ОТД</v>
      </c>
      <c r="R17" s="57" t="str">
        <f>IF(A17=""," ",VLOOKUP(A17,'Профилиращ лист'!A:B,2,FALSE))</f>
        <v>СПЕ</v>
      </c>
      <c r="S17" s="57"/>
      <c r="T17" s="57">
        <f t="shared" ca="1" si="3"/>
        <v>67</v>
      </c>
      <c r="U17" s="57"/>
    </row>
    <row r="18" spans="1:21" x14ac:dyDescent="0.25">
      <c r="A18" s="8" t="s">
        <v>26</v>
      </c>
      <c r="B18" s="4">
        <v>30</v>
      </c>
      <c r="C18" s="4">
        <v>45</v>
      </c>
      <c r="D18" s="4">
        <v>30</v>
      </c>
      <c r="E18" s="4">
        <v>15</v>
      </c>
      <c r="F18" s="4">
        <v>0</v>
      </c>
      <c r="G18" s="4">
        <f t="shared" si="7"/>
        <v>45</v>
      </c>
      <c r="H18" s="4">
        <f t="shared" si="8"/>
        <v>90</v>
      </c>
      <c r="I18" s="4">
        <v>3</v>
      </c>
      <c r="J18" s="4" t="s">
        <v>12</v>
      </c>
      <c r="K18" s="73">
        <f t="shared" si="0"/>
        <v>45</v>
      </c>
      <c r="L18" s="73">
        <f t="shared" si="1"/>
        <v>30</v>
      </c>
      <c r="M18" s="73">
        <f t="shared" si="2"/>
        <v>15</v>
      </c>
      <c r="N18" s="7" t="str">
        <f>IF(O18=""," ",VLOOKUP(O18,'[8]2012 личен състав ОТД'!$A:$AO,2,FALSE))</f>
        <v>доц. д-р Ваня Зидарова</v>
      </c>
      <c r="O18" s="3" t="s">
        <v>454</v>
      </c>
      <c r="P18" s="7">
        <f>IF(O18=""," ",VLOOKUP(O18,'[8]2012 личен състав ОТД'!$A:$AO,13,FALSE))</f>
        <v>1959</v>
      </c>
      <c r="Q18" s="3" t="str">
        <f>IF(O18=""," ",VLOOKUP(O18,'[8]2012 личен състав ОТД'!$A:$AO,12,FALSE))</f>
        <v>ОТД</v>
      </c>
      <c r="R18" s="57" t="str">
        <f>IF(A18=""," ",VLOOKUP(A18,'Профилиращ лист'!A:B,2,FALSE))</f>
        <v>ОФД</v>
      </c>
      <c r="S18" s="57"/>
      <c r="T18" s="57">
        <f t="shared" ca="1" si="3"/>
        <v>54</v>
      </c>
      <c r="U18" s="57"/>
    </row>
    <row r="19" spans="1:21" x14ac:dyDescent="0.25">
      <c r="A19" s="8" t="s">
        <v>27</v>
      </c>
      <c r="B19" s="4">
        <v>15</v>
      </c>
      <c r="C19" s="4">
        <v>30</v>
      </c>
      <c r="D19" s="4">
        <v>0</v>
      </c>
      <c r="E19" s="4">
        <v>0</v>
      </c>
      <c r="F19" s="4">
        <v>30</v>
      </c>
      <c r="G19" s="4">
        <f t="shared" si="7"/>
        <v>30</v>
      </c>
      <c r="H19" s="4">
        <f t="shared" si="8"/>
        <v>60</v>
      </c>
      <c r="I19" s="4">
        <v>2</v>
      </c>
      <c r="J19" s="4" t="s">
        <v>18</v>
      </c>
      <c r="K19" s="73">
        <f t="shared" si="0"/>
        <v>30</v>
      </c>
      <c r="L19" s="73">
        <f t="shared" si="1"/>
        <v>0</v>
      </c>
      <c r="M19" s="73">
        <f t="shared" si="2"/>
        <v>30</v>
      </c>
      <c r="N19" s="7" t="str">
        <f>IF(O19=""," ",VLOOKUP(O19,'[8]2012 личен състав ОТД'!$A:$AO,2,FALSE))</f>
        <v xml:space="preserve"> </v>
      </c>
      <c r="O19" s="3"/>
      <c r="P19" s="7" t="str">
        <f>IF(O19=""," ",VLOOKUP(O19,'[8]2012 личен състав ОТД'!$A:$AO,13,FALSE))</f>
        <v xml:space="preserve"> </v>
      </c>
      <c r="Q19" s="3" t="str">
        <f>IF(O19=""," ",VLOOKUP(O19,'[8]2012 личен състав ОТД'!$A:$AO,12,FALSE))</f>
        <v xml:space="preserve"> </v>
      </c>
      <c r="R19" s="57" t="str">
        <f>IF(A19=""," ",VLOOKUP(A19,'Профилиращ лист'!A:B,2,FALSE))</f>
        <v>ФД</v>
      </c>
      <c r="S19" s="57"/>
      <c r="T19" s="57" t="e">
        <f t="shared" ca="1" si="3"/>
        <v>#VALUE!</v>
      </c>
      <c r="U19" s="57"/>
    </row>
    <row r="20" spans="1:21" x14ac:dyDescent="0.25">
      <c r="A20" s="8" t="s">
        <v>28</v>
      </c>
      <c r="B20" s="4">
        <v>15</v>
      </c>
      <c r="C20" s="4">
        <v>15</v>
      </c>
      <c r="D20" s="4">
        <v>0</v>
      </c>
      <c r="E20" s="4">
        <v>0</v>
      </c>
      <c r="F20" s="4">
        <v>15</v>
      </c>
      <c r="G20" s="4">
        <f t="shared" si="7"/>
        <v>45</v>
      </c>
      <c r="H20" s="4">
        <f t="shared" si="8"/>
        <v>60</v>
      </c>
      <c r="I20" s="4">
        <v>2</v>
      </c>
      <c r="J20" s="4" t="s">
        <v>18</v>
      </c>
      <c r="K20" s="73">
        <f t="shared" si="0"/>
        <v>15</v>
      </c>
      <c r="L20" s="73">
        <f t="shared" si="1"/>
        <v>0</v>
      </c>
      <c r="M20" s="73">
        <f t="shared" si="2"/>
        <v>15</v>
      </c>
      <c r="N20" s="7" t="str">
        <f>IF(O20=""," ",VLOOKUP(O20,'[8]2012 личен състав ОТД'!$A:$AO,2,FALSE))</f>
        <v xml:space="preserve"> </v>
      </c>
      <c r="O20" s="3"/>
      <c r="P20" s="7" t="str">
        <f>IF(O20=""," ",VLOOKUP(O20,'[8]2012 личен състав ОТД'!$A:$AO,13,FALSE))</f>
        <v xml:space="preserve"> </v>
      </c>
      <c r="Q20" s="3" t="str">
        <f>IF(O20=""," ",VLOOKUP(O20,'[8]2012 личен състав ОТД'!$A:$AO,12,FALSE))</f>
        <v xml:space="preserve"> </v>
      </c>
      <c r="R20" s="57" t="str">
        <f>IF(A20=""," ",VLOOKUP(A20,'Профилиращ лист'!A:B,2,FALSE))</f>
        <v>ПЕД</v>
      </c>
      <c r="S20" s="57"/>
      <c r="T20" s="57" t="e">
        <f t="shared" ca="1" si="3"/>
        <v>#VALUE!</v>
      </c>
      <c r="U20" s="57"/>
    </row>
    <row r="21" spans="1:21" ht="17.100000000000001" customHeight="1" x14ac:dyDescent="0.25">
      <c r="A21" s="8" t="s">
        <v>29</v>
      </c>
      <c r="C21" s="4">
        <v>30</v>
      </c>
      <c r="D21" s="4">
        <v>0</v>
      </c>
      <c r="E21" s="4">
        <v>0</v>
      </c>
      <c r="F21" s="4">
        <f>C21-D21-E21</f>
        <v>30</v>
      </c>
      <c r="G21" s="4">
        <v>0</v>
      </c>
      <c r="H21" s="4">
        <v>0</v>
      </c>
      <c r="I21" s="4">
        <v>0</v>
      </c>
      <c r="J21" s="4" t="s">
        <v>14</v>
      </c>
      <c r="K21" s="73">
        <f t="shared" si="0"/>
        <v>60</v>
      </c>
      <c r="L21" s="73">
        <f t="shared" si="1"/>
        <v>0</v>
      </c>
      <c r="M21" s="73">
        <f t="shared" si="2"/>
        <v>60</v>
      </c>
      <c r="N21" s="7" t="str">
        <f>IF(O21=""," ",VLOOKUP(O21,'[8]2012 личен състав ОТД'!$A:$AO,2,FALSE))</f>
        <v xml:space="preserve"> </v>
      </c>
      <c r="O21" s="3"/>
      <c r="P21" s="7" t="str">
        <f>IF(O21=""," ",VLOOKUP(O21,'[8]2012 личен състав ОТД'!$A:$AO,13,FALSE))</f>
        <v xml:space="preserve"> </v>
      </c>
      <c r="Q21" s="3" t="str">
        <f>IF(O21=""," ",VLOOKUP(O21,'[8]2012 личен състав ОТД'!$A:$AO,12,FALSE))</f>
        <v xml:space="preserve"> </v>
      </c>
      <c r="R21" s="57" t="str">
        <f>IF(A21=""," ",VLOOKUP(A21,'Профилиращ лист'!A:B,2,FALSE))</f>
        <v>ПЕД</v>
      </c>
      <c r="S21" s="57"/>
      <c r="T21" s="57" t="e">
        <f t="shared" ca="1" si="3"/>
        <v>#VALUE!</v>
      </c>
      <c r="U21" s="57"/>
    </row>
    <row r="22" spans="1:21" x14ac:dyDescent="0.25">
      <c r="B22" s="9">
        <f t="shared" ref="B22:H22" si="9">SUM(B13:B20)</f>
        <v>285</v>
      </c>
      <c r="C22" s="9">
        <f t="shared" si="9"/>
        <v>420</v>
      </c>
      <c r="D22" s="9">
        <f t="shared" si="9"/>
        <v>150</v>
      </c>
      <c r="E22" s="9">
        <f t="shared" si="9"/>
        <v>75</v>
      </c>
      <c r="F22" s="9">
        <f t="shared" si="9"/>
        <v>195</v>
      </c>
      <c r="G22" s="9">
        <f t="shared" si="9"/>
        <v>480</v>
      </c>
      <c r="H22" s="9">
        <f t="shared" si="9"/>
        <v>900</v>
      </c>
      <c r="I22" s="9">
        <f>SUM(I13:I20)</f>
        <v>30</v>
      </c>
      <c r="J22" s="6"/>
      <c r="K22" s="73">
        <f t="shared" si="0"/>
        <v>0</v>
      </c>
      <c r="L22" s="73">
        <f t="shared" si="1"/>
        <v>0</v>
      </c>
      <c r="M22" s="73">
        <f t="shared" si="2"/>
        <v>0</v>
      </c>
      <c r="N22" s="7" t="str">
        <f>IF(O22=""," ",VLOOKUP(O22,'[8]2012 личен състав ОТД'!$A:$AO,2,FALSE))</f>
        <v xml:space="preserve"> </v>
      </c>
      <c r="O22" s="3"/>
      <c r="P22" s="7" t="str">
        <f>IF(O22=""," ",VLOOKUP(O22,'[8]2012 личен състав ОТД'!$A:$AO,13,FALSE))</f>
        <v xml:space="preserve"> </v>
      </c>
      <c r="Q22" s="3" t="str">
        <f>IF(O22=""," ",VLOOKUP(O22,'[8]2012 личен състав ОТД'!$A:$AO,12,FALSE))</f>
        <v xml:space="preserve"> </v>
      </c>
      <c r="R22" s="57" t="str">
        <f>IF(A22=""," ",VLOOKUP(A22,'Профилиращ лист'!A:B,2,FALSE))</f>
        <v xml:space="preserve"> </v>
      </c>
      <c r="S22" s="57"/>
      <c r="T22" s="57" t="e">
        <f t="shared" ca="1" si="3"/>
        <v>#VALUE!</v>
      </c>
      <c r="U22" s="57"/>
    </row>
    <row r="23" spans="1:21" x14ac:dyDescent="0.25">
      <c r="A23" s="1" t="s">
        <v>30</v>
      </c>
      <c r="B23" s="1"/>
      <c r="J23" s="6"/>
      <c r="K23" s="73">
        <f t="shared" si="0"/>
        <v>0</v>
      </c>
      <c r="L23" s="73">
        <f t="shared" si="1"/>
        <v>0</v>
      </c>
      <c r="M23" s="73">
        <f t="shared" si="2"/>
        <v>0</v>
      </c>
      <c r="N23" s="7" t="str">
        <f>IF(O23=""," ",VLOOKUP(O23,'[8]2012 личен състав ОТД'!$A:$AO,2,FALSE))</f>
        <v xml:space="preserve"> </v>
      </c>
      <c r="O23" s="3"/>
      <c r="P23" s="7" t="str">
        <f>IF(O23=""," ",VLOOKUP(O23,'[8]2012 личен състав ОТД'!$A:$AO,13,FALSE))</f>
        <v xml:space="preserve"> </v>
      </c>
      <c r="Q23" s="3" t="str">
        <f>IF(O23=""," ",VLOOKUP(O23,'[8]2012 личен състав ОТД'!$A:$AO,12,FALSE))</f>
        <v xml:space="preserve"> </v>
      </c>
      <c r="R23" s="57" t="e">
        <f>IF(A23=""," ",VLOOKUP(A23,'Профилиращ лист'!A:B,2,FALSE))</f>
        <v>#N/A</v>
      </c>
      <c r="S23" s="57"/>
      <c r="T23" s="57" t="e">
        <f t="shared" ca="1" si="3"/>
        <v>#VALUE!</v>
      </c>
      <c r="U23" s="57"/>
    </row>
    <row r="24" spans="1:21" ht="17.100000000000001" customHeight="1" x14ac:dyDescent="0.25">
      <c r="A24" s="8" t="s">
        <v>31</v>
      </c>
      <c r="B24" s="4">
        <v>30</v>
      </c>
      <c r="C24" s="4">
        <v>30</v>
      </c>
      <c r="D24" s="4">
        <v>30</v>
      </c>
      <c r="E24" s="4">
        <v>0</v>
      </c>
      <c r="F24" s="4">
        <v>0</v>
      </c>
      <c r="G24" s="4">
        <f>H24-C24</f>
        <v>60</v>
      </c>
      <c r="H24" s="4">
        <f>I24*30</f>
        <v>90</v>
      </c>
      <c r="I24" s="4">
        <v>3</v>
      </c>
      <c r="J24" s="4" t="s">
        <v>14</v>
      </c>
      <c r="K24" s="73">
        <f t="shared" si="0"/>
        <v>75</v>
      </c>
      <c r="L24" s="73">
        <f t="shared" si="1"/>
        <v>60</v>
      </c>
      <c r="M24" s="73">
        <f t="shared" si="2"/>
        <v>15</v>
      </c>
      <c r="N24" s="7" t="str">
        <f>IF(O24=""," ",VLOOKUP(O24,'[8]2012 личен състав ОТД'!$A:$AO,2,FALSE))</f>
        <v xml:space="preserve"> </v>
      </c>
      <c r="O24" s="3"/>
      <c r="P24" s="7" t="str">
        <f>IF(O24=""," ",VLOOKUP(O24,'[8]2012 личен състав ОТД'!$A:$AO,13,FALSE))</f>
        <v xml:space="preserve"> </v>
      </c>
      <c r="Q24" s="3" t="str">
        <f>IF(O24=""," ",VLOOKUP(O24,'[8]2012 личен състав ОТД'!$A:$AO,12,FALSE))</f>
        <v xml:space="preserve"> </v>
      </c>
      <c r="R24" s="57" t="str">
        <f>IF(A24=""," ",VLOOKUP(A24,'Профилиращ лист'!A:B,2,FALSE))</f>
        <v>СПЕ</v>
      </c>
      <c r="S24" s="57"/>
      <c r="T24" s="57" t="e">
        <f t="shared" ca="1" si="3"/>
        <v>#VALUE!</v>
      </c>
      <c r="U24" s="57"/>
    </row>
    <row r="25" spans="1:21" x14ac:dyDescent="0.25">
      <c r="A25" s="8" t="s">
        <v>32</v>
      </c>
      <c r="B25" s="4">
        <v>15</v>
      </c>
      <c r="C25" s="4">
        <v>30</v>
      </c>
      <c r="D25" s="4">
        <v>30</v>
      </c>
      <c r="E25" s="4">
        <v>0</v>
      </c>
      <c r="F25" s="4">
        <v>0</v>
      </c>
      <c r="G25" s="4">
        <f t="shared" ref="G25:G31" si="10">H25-C25</f>
        <v>60</v>
      </c>
      <c r="H25" s="4">
        <f t="shared" ref="H25:H31" si="11">I25*30</f>
        <v>90</v>
      </c>
      <c r="I25" s="4">
        <v>3</v>
      </c>
      <c r="J25" s="4" t="s">
        <v>12</v>
      </c>
      <c r="K25" s="73">
        <f t="shared" si="0"/>
        <v>30</v>
      </c>
      <c r="L25" s="73">
        <f t="shared" si="1"/>
        <v>30</v>
      </c>
      <c r="M25" s="73">
        <f t="shared" si="2"/>
        <v>0</v>
      </c>
      <c r="N25" s="7" t="str">
        <f>IF(O25=""," ",VLOOKUP(O25,'[8]2012 личен състав ОТД'!$A:$AO,2,FALSE))</f>
        <v>проф. д.с.н. Албена Хранова</v>
      </c>
      <c r="O25" s="3" t="s">
        <v>485</v>
      </c>
      <c r="P25" s="7">
        <f>IF(O25=""," ",VLOOKUP(O25,'[8]2012 личен състав ОТД'!$A:$AO,13,FALSE))</f>
        <v>1960</v>
      </c>
      <c r="Q25" s="3" t="str">
        <f>IF(O25=""," ",VLOOKUP(O25,'[8]2012 личен състав ОТД'!$A:$AO,12,FALSE))</f>
        <v>ОТД</v>
      </c>
      <c r="R25" s="57" t="str">
        <f>IF(A25=""," ",VLOOKUP(A25,'Профилиращ лист'!A:B,2,FALSE))</f>
        <v>ИЗБ</v>
      </c>
      <c r="S25" s="57"/>
      <c r="T25" s="57">
        <f t="shared" ca="1" si="3"/>
        <v>53</v>
      </c>
      <c r="U25" s="57"/>
    </row>
    <row r="26" spans="1:21" ht="17.100000000000001" customHeight="1" x14ac:dyDescent="0.25">
      <c r="A26" s="8" t="s">
        <v>33</v>
      </c>
      <c r="B26" s="8">
        <v>30</v>
      </c>
      <c r="C26" s="4">
        <v>30</v>
      </c>
      <c r="D26" s="4">
        <v>15</v>
      </c>
      <c r="E26" s="4">
        <v>15</v>
      </c>
      <c r="F26" s="4">
        <v>0</v>
      </c>
      <c r="G26" s="4">
        <f t="shared" si="10"/>
        <v>60</v>
      </c>
      <c r="H26" s="4">
        <f t="shared" si="11"/>
        <v>90</v>
      </c>
      <c r="I26" s="4">
        <v>3</v>
      </c>
      <c r="J26" s="4" t="s">
        <v>12</v>
      </c>
      <c r="K26" s="73">
        <f t="shared" si="0"/>
        <v>30</v>
      </c>
      <c r="L26" s="73">
        <f t="shared" si="1"/>
        <v>15</v>
      </c>
      <c r="M26" s="73">
        <f t="shared" si="2"/>
        <v>15</v>
      </c>
      <c r="N26" s="7" t="str">
        <f>IF(O26=""," ",VLOOKUP(O26,'[8]2012 личен състав ОТД'!$A:$AO,2,FALSE))</f>
        <v>доц. д-р Йордан Костурков</v>
      </c>
      <c r="O26" s="3" t="s">
        <v>486</v>
      </c>
      <c r="P26" s="7">
        <f>IF(O26=""," ",VLOOKUP(O26,'[8]2012 личен състав ОТД'!$A:$AO,13,FALSE))</f>
        <v>1948</v>
      </c>
      <c r="Q26" s="3" t="str">
        <f>IF(O26=""," ",VLOOKUP(O26,'[8]2012 личен състав ОТД'!$A:$AO,12,FALSE))</f>
        <v>ОТД</v>
      </c>
      <c r="R26" s="57" t="s">
        <v>255</v>
      </c>
      <c r="S26" s="57"/>
      <c r="T26" s="57">
        <f t="shared" ca="1" si="3"/>
        <v>65</v>
      </c>
      <c r="U26" s="57"/>
    </row>
    <row r="27" spans="1:21" x14ac:dyDescent="0.25">
      <c r="A27" s="8" t="s">
        <v>34</v>
      </c>
      <c r="B27" s="4">
        <v>60</v>
      </c>
      <c r="C27" s="4">
        <v>60</v>
      </c>
      <c r="D27" s="4">
        <v>45</v>
      </c>
      <c r="E27" s="4">
        <v>15</v>
      </c>
      <c r="F27" s="4">
        <v>0</v>
      </c>
      <c r="G27" s="4">
        <f t="shared" si="10"/>
        <v>60</v>
      </c>
      <c r="H27" s="4">
        <f t="shared" si="11"/>
        <v>120</v>
      </c>
      <c r="I27" s="4">
        <v>4</v>
      </c>
      <c r="J27" s="4" t="s">
        <v>12</v>
      </c>
      <c r="K27" s="73">
        <f t="shared" si="0"/>
        <v>60</v>
      </c>
      <c r="L27" s="73">
        <f t="shared" si="1"/>
        <v>45</v>
      </c>
      <c r="M27" s="73">
        <f t="shared" si="2"/>
        <v>15</v>
      </c>
      <c r="N27" s="7" t="str">
        <f>IF(O27=""," ",VLOOKUP(O27,'[8]2012 личен състав ОТД'!$A:$AO,2,FALSE))</f>
        <v>проф. д.п.н. Пламен Радев</v>
      </c>
      <c r="O27" s="3" t="s">
        <v>465</v>
      </c>
      <c r="P27" s="7">
        <f>IF(O27=""," ",VLOOKUP(O27,'[8]2012 личен състав ОТД'!$A:$AO,13,FALSE))</f>
        <v>1950</v>
      </c>
      <c r="Q27" s="3" t="str">
        <f>IF(O27=""," ",VLOOKUP(O27,'[8]2012 личен състав ОТД'!$A:$AO,12,FALSE))</f>
        <v>ОТД</v>
      </c>
      <c r="R27" s="57" t="str">
        <f>IF(A27=""," ",VLOOKUP(A27,'Профилиращ лист'!A:B,2,FALSE))</f>
        <v>ПЕД</v>
      </c>
      <c r="S27" s="57"/>
      <c r="T27" s="57">
        <f t="shared" ca="1" si="3"/>
        <v>63</v>
      </c>
      <c r="U27" s="57"/>
    </row>
    <row r="28" spans="1:21" ht="17.100000000000001" customHeight="1" x14ac:dyDescent="0.25">
      <c r="A28" s="8" t="s">
        <v>15</v>
      </c>
      <c r="B28" s="8">
        <v>90</v>
      </c>
      <c r="C28" s="4">
        <v>120</v>
      </c>
      <c r="D28" s="4">
        <v>0</v>
      </c>
      <c r="E28" s="4">
        <v>0</v>
      </c>
      <c r="F28" s="4">
        <v>105</v>
      </c>
      <c r="G28" s="4">
        <f t="shared" si="10"/>
        <v>120</v>
      </c>
      <c r="H28" s="4">
        <f t="shared" si="11"/>
        <v>240</v>
      </c>
      <c r="I28" s="4">
        <v>8</v>
      </c>
      <c r="J28" s="4" t="s">
        <v>14</v>
      </c>
      <c r="K28" s="73">
        <f t="shared" si="0"/>
        <v>690</v>
      </c>
      <c r="L28" s="73">
        <f t="shared" si="1"/>
        <v>0</v>
      </c>
      <c r="M28" s="73">
        <f t="shared" si="2"/>
        <v>675</v>
      </c>
      <c r="N28" s="7" t="str">
        <f>IF(O28=""," ",VLOOKUP(O28,'[8]2012 личен състав ОТД'!$A:$AO,2,FALSE))</f>
        <v xml:space="preserve"> </v>
      </c>
      <c r="O28" s="3"/>
      <c r="P28" s="7" t="str">
        <f>IF(O28=""," ",VLOOKUP(O28,'[8]2012 личен състав ОТД'!$A:$AO,13,FALSE))</f>
        <v xml:space="preserve"> </v>
      </c>
      <c r="Q28" s="3" t="str">
        <f>IF(O28=""," ",VLOOKUP(O28,'[8]2012 личен състав ОТД'!$A:$AO,12,FALSE))</f>
        <v xml:space="preserve"> </v>
      </c>
      <c r="R28" s="57" t="str">
        <f>IF(A28=""," ",VLOOKUP(A28,'Профилиращ лист'!A:B,2,FALSE))</f>
        <v>ПРА</v>
      </c>
      <c r="S28" s="57"/>
      <c r="T28" s="57" t="e">
        <f t="shared" ca="1" si="3"/>
        <v>#VALUE!</v>
      </c>
      <c r="U28" s="57"/>
    </row>
    <row r="29" spans="1:21" x14ac:dyDescent="0.25">
      <c r="A29" s="8" t="s">
        <v>35</v>
      </c>
      <c r="B29" s="4">
        <v>45</v>
      </c>
      <c r="C29" s="4">
        <v>45</v>
      </c>
      <c r="D29" s="4">
        <v>45</v>
      </c>
      <c r="E29" s="4">
        <v>0</v>
      </c>
      <c r="F29" s="4">
        <v>0</v>
      </c>
      <c r="G29" s="4">
        <f t="shared" si="10"/>
        <v>45</v>
      </c>
      <c r="H29" s="4">
        <f t="shared" si="11"/>
        <v>90</v>
      </c>
      <c r="I29" s="4">
        <v>3</v>
      </c>
      <c r="J29" s="4" t="s">
        <v>12</v>
      </c>
      <c r="K29" s="73">
        <f t="shared" si="0"/>
        <v>45</v>
      </c>
      <c r="L29" s="73">
        <f t="shared" si="1"/>
        <v>45</v>
      </c>
      <c r="M29" s="73">
        <f t="shared" si="2"/>
        <v>0</v>
      </c>
      <c r="N29" s="7" t="str">
        <f>IF(O29=""," ",VLOOKUP(O29,'[8]2012 личен състав ОТД'!$A:$AO,2,FALSE))</f>
        <v>проф. д.п.н. Румен Стаматов</v>
      </c>
      <c r="O29" s="3" t="s">
        <v>466</v>
      </c>
      <c r="P29" s="7">
        <f>IF(O29=""," ",VLOOKUP(O29,'[8]2012 личен състав ОТД'!$A:$AO,13,FALSE))</f>
        <v>1953</v>
      </c>
      <c r="Q29" s="3" t="str">
        <f>IF(O29=""," ",VLOOKUP(O29,'[8]2012 личен състав ОТД'!$A:$AO,12,FALSE))</f>
        <v>ОТД</v>
      </c>
      <c r="R29" s="57" t="str">
        <f>IF(A29=""," ",VLOOKUP(A29,'Профилиращ лист'!A:B,2,FALSE))</f>
        <v>ПЕД</v>
      </c>
      <c r="S29" s="57"/>
      <c r="T29" s="57">
        <f t="shared" ca="1" si="3"/>
        <v>60</v>
      </c>
      <c r="U29" s="57"/>
    </row>
    <row r="30" spans="1:21" x14ac:dyDescent="0.25">
      <c r="A30" s="8" t="s">
        <v>36</v>
      </c>
      <c r="B30" s="8">
        <v>30</v>
      </c>
      <c r="C30" s="4">
        <v>45</v>
      </c>
      <c r="D30" s="4">
        <v>30</v>
      </c>
      <c r="E30" s="4">
        <v>15</v>
      </c>
      <c r="F30" s="4">
        <v>0</v>
      </c>
      <c r="G30" s="4">
        <f t="shared" si="10"/>
        <v>45</v>
      </c>
      <c r="H30" s="4">
        <f t="shared" si="11"/>
        <v>90</v>
      </c>
      <c r="I30" s="4">
        <v>3</v>
      </c>
      <c r="J30" s="4" t="s">
        <v>12</v>
      </c>
      <c r="K30" s="73">
        <f t="shared" si="0"/>
        <v>45</v>
      </c>
      <c r="L30" s="73">
        <f t="shared" si="1"/>
        <v>30</v>
      </c>
      <c r="M30" s="73">
        <f t="shared" si="2"/>
        <v>15</v>
      </c>
      <c r="N30" s="7" t="str">
        <f>IF(O30=""," ",VLOOKUP(O30,'[8]2012 личен състав ОТД'!$A:$AO,2,FALSE))</f>
        <v>гл. ас. д-р Снежа Цонева-Матюсън</v>
      </c>
      <c r="O30" s="3" t="s">
        <v>487</v>
      </c>
      <c r="P30" s="7">
        <f>IF(O30=""," ",VLOOKUP(O30,'[8]2012 личен състав ОТД'!$A:$AO,13,FALSE))</f>
        <v>1958</v>
      </c>
      <c r="Q30" s="3" t="str">
        <f>IF(O30=""," ",VLOOKUP(O30,'[8]2012 личен състав ОТД'!$A:$AO,12,FALSE))</f>
        <v>ОТД</v>
      </c>
      <c r="R30" s="57" t="str">
        <f>IF(A30=""," ",VLOOKUP(A30,'Профилиращ лист'!A:B,2,FALSE))</f>
        <v>СПЕ</v>
      </c>
      <c r="S30" s="57"/>
      <c r="T30" s="57">
        <f t="shared" ca="1" si="3"/>
        <v>55</v>
      </c>
      <c r="U30" s="57"/>
    </row>
    <row r="31" spans="1:21" x14ac:dyDescent="0.25">
      <c r="A31" s="8" t="s">
        <v>37</v>
      </c>
      <c r="B31" s="4">
        <v>30</v>
      </c>
      <c r="C31" s="4">
        <v>45</v>
      </c>
      <c r="D31" s="4">
        <v>30</v>
      </c>
      <c r="E31" s="4">
        <v>15</v>
      </c>
      <c r="F31" s="4">
        <v>0</v>
      </c>
      <c r="G31" s="4">
        <f t="shared" si="10"/>
        <v>45</v>
      </c>
      <c r="H31" s="4">
        <f t="shared" si="11"/>
        <v>90</v>
      </c>
      <c r="I31" s="4">
        <v>3</v>
      </c>
      <c r="J31" s="4" t="s">
        <v>12</v>
      </c>
      <c r="K31" s="73">
        <f t="shared" si="0"/>
        <v>45</v>
      </c>
      <c r="L31" s="73">
        <f t="shared" si="1"/>
        <v>30</v>
      </c>
      <c r="M31" s="73">
        <f t="shared" si="2"/>
        <v>15</v>
      </c>
      <c r="N31" s="7" t="str">
        <f>IF(O31=""," ",VLOOKUP(O31,'[8]2012 личен състав ОТД'!$A:$AO,2,FALSE))</f>
        <v>гл. ас. д-р Иванка Гайдаджиева</v>
      </c>
      <c r="O31" s="3" t="s">
        <v>467</v>
      </c>
      <c r="P31" s="7">
        <f>IF(O31=""," ",VLOOKUP(O31,'[8]2012 личен състав ОТД'!$A:$AO,13,FALSE))</f>
        <v>1958</v>
      </c>
      <c r="Q31" s="3" t="str">
        <f>IF(O31=""," ",VLOOKUP(O31,'[8]2012 личен състав ОТД'!$A:$AO,12,FALSE))</f>
        <v>ОТД</v>
      </c>
      <c r="R31" s="57" t="str">
        <f>IF(A31=""," ",VLOOKUP(A31,'Профилиращ лист'!A:B,2,FALSE))</f>
        <v>СПЕ</v>
      </c>
      <c r="S31" s="57"/>
      <c r="T31" s="57">
        <f t="shared" ca="1" si="3"/>
        <v>55</v>
      </c>
      <c r="U31" s="57"/>
    </row>
    <row r="32" spans="1:21" ht="17.100000000000001" customHeight="1" x14ac:dyDescent="0.25">
      <c r="A32" s="8" t="s">
        <v>29</v>
      </c>
      <c r="C32" s="4">
        <v>30</v>
      </c>
      <c r="D32" s="4">
        <v>0</v>
      </c>
      <c r="E32" s="4">
        <v>0</v>
      </c>
      <c r="F32" s="4">
        <f>C32-D32-E32</f>
        <v>30</v>
      </c>
      <c r="G32" s="4">
        <v>0</v>
      </c>
      <c r="H32" s="4">
        <v>0</v>
      </c>
      <c r="I32" s="5">
        <v>0</v>
      </c>
      <c r="J32" s="4" t="s">
        <v>14</v>
      </c>
      <c r="K32" s="73">
        <f t="shared" si="0"/>
        <v>60</v>
      </c>
      <c r="L32" s="73">
        <f t="shared" si="1"/>
        <v>0</v>
      </c>
      <c r="M32" s="73">
        <f t="shared" si="2"/>
        <v>60</v>
      </c>
      <c r="N32" s="7" t="str">
        <f>IF(O32=""," ",VLOOKUP(O32,'[8]2012 личен състав ОТД'!$A:$AO,2,FALSE))</f>
        <v xml:space="preserve"> </v>
      </c>
      <c r="O32" s="3"/>
      <c r="P32" s="7" t="str">
        <f>IF(O32=""," ",VLOOKUP(O32,'[8]2012 личен състав ОТД'!$A:$AO,13,FALSE))</f>
        <v xml:space="preserve"> </v>
      </c>
      <c r="Q32" s="3" t="str">
        <f>IF(O32=""," ",VLOOKUP(O32,'[8]2012 личен състав ОТД'!$A:$AO,12,FALSE))</f>
        <v xml:space="preserve"> </v>
      </c>
      <c r="R32" s="57"/>
      <c r="S32" s="57"/>
      <c r="T32" s="57" t="e">
        <f t="shared" ca="1" si="3"/>
        <v>#VALUE!</v>
      </c>
      <c r="U32" s="57"/>
    </row>
    <row r="33" spans="1:28" x14ac:dyDescent="0.25">
      <c r="B33" s="9">
        <f t="shared" ref="B33:I33" si="12">SUM(B24:B31)</f>
        <v>330</v>
      </c>
      <c r="C33" s="9">
        <f t="shared" si="12"/>
        <v>405</v>
      </c>
      <c r="D33" s="9">
        <f t="shared" si="12"/>
        <v>225</v>
      </c>
      <c r="E33" s="9">
        <f t="shared" si="12"/>
        <v>60</v>
      </c>
      <c r="F33" s="9">
        <f t="shared" si="12"/>
        <v>105</v>
      </c>
      <c r="G33" s="9">
        <f t="shared" si="12"/>
        <v>495</v>
      </c>
      <c r="H33" s="9">
        <f t="shared" si="12"/>
        <v>900</v>
      </c>
      <c r="I33" s="9">
        <f t="shared" si="12"/>
        <v>30</v>
      </c>
      <c r="J33" s="6"/>
      <c r="K33" s="73">
        <f t="shared" si="0"/>
        <v>0</v>
      </c>
      <c r="L33" s="73">
        <f t="shared" si="1"/>
        <v>0</v>
      </c>
      <c r="M33" s="73">
        <f t="shared" si="2"/>
        <v>0</v>
      </c>
      <c r="N33" s="7" t="str">
        <f>IF(O33=""," ",VLOOKUP(O33,'[8]2012 личен състав ОТД'!$A:$AO,2,FALSE))</f>
        <v xml:space="preserve"> </v>
      </c>
      <c r="O33" s="3"/>
      <c r="P33" s="7" t="str">
        <f>IF(O33=""," ",VLOOKUP(O33,'[8]2012 личен състав ОТД'!$A:$AO,13,FALSE))</f>
        <v xml:space="preserve"> </v>
      </c>
      <c r="Q33" s="3" t="str">
        <f>IF(O33=""," ",VLOOKUP(O33,'[8]2012 личен състав ОТД'!$A:$AO,12,FALSE))</f>
        <v xml:space="preserve"> </v>
      </c>
      <c r="R33" s="57"/>
      <c r="S33" s="57"/>
      <c r="T33" s="57" t="e">
        <f t="shared" ca="1" si="3"/>
        <v>#VALUE!</v>
      </c>
      <c r="U33" s="57"/>
    </row>
    <row r="34" spans="1:28" x14ac:dyDescent="0.25">
      <c r="A34" s="1" t="s">
        <v>38</v>
      </c>
      <c r="B34" s="1"/>
      <c r="I34" s="4"/>
      <c r="J34" s="6"/>
      <c r="K34" s="73">
        <f t="shared" si="0"/>
        <v>0</v>
      </c>
      <c r="L34" s="73">
        <f t="shared" si="1"/>
        <v>0</v>
      </c>
      <c r="M34" s="73">
        <f t="shared" si="2"/>
        <v>0</v>
      </c>
      <c r="N34" s="7" t="str">
        <f>IF(O34=""," ",VLOOKUP(O34,'[8]2012 личен състав ОТД'!$A:$AO,2,FALSE))</f>
        <v xml:space="preserve"> </v>
      </c>
      <c r="O34" s="3"/>
      <c r="P34" s="7" t="str">
        <f>IF(O34=""," ",VLOOKUP(O34,'[8]2012 личен състав ОТД'!$A:$AO,13,FALSE))</f>
        <v xml:space="preserve"> </v>
      </c>
      <c r="Q34" s="3" t="str">
        <f>IF(O34=""," ",VLOOKUP(O34,'[8]2012 личен състав ОТД'!$A:$AO,12,FALSE))</f>
        <v xml:space="preserve"> </v>
      </c>
      <c r="R34" s="57"/>
      <c r="S34" s="57"/>
      <c r="T34" s="57" t="e">
        <f t="shared" ca="1" si="3"/>
        <v>#VALUE!</v>
      </c>
      <c r="U34" s="57"/>
    </row>
    <row r="35" spans="1:28" ht="17.100000000000001" customHeight="1" x14ac:dyDescent="0.25">
      <c r="A35" s="8" t="s">
        <v>39</v>
      </c>
      <c r="B35" s="4">
        <v>45</v>
      </c>
      <c r="C35" s="4">
        <v>45</v>
      </c>
      <c r="D35" s="4">
        <v>30</v>
      </c>
      <c r="E35" s="4">
        <v>15</v>
      </c>
      <c r="F35" s="4">
        <v>0</v>
      </c>
      <c r="G35" s="4">
        <f>H35-C35</f>
        <v>75</v>
      </c>
      <c r="H35" s="4">
        <f>I35*30</f>
        <v>120</v>
      </c>
      <c r="I35" s="4">
        <v>4</v>
      </c>
      <c r="J35" s="4" t="s">
        <v>14</v>
      </c>
      <c r="K35" s="73">
        <f t="shared" ref="K35:K66" si="13">SUMIF(A:A,A35,C:C)</f>
        <v>105</v>
      </c>
      <c r="L35" s="73">
        <f t="shared" ref="L35:L66" si="14">SUMIF(A:A,A35,D:D)</f>
        <v>60</v>
      </c>
      <c r="M35" s="73">
        <f t="shared" ref="M35:M66" si="15">SUMIF(A:A,A35,E:E)+SUMIF(A:A,A35,F:F)</f>
        <v>45</v>
      </c>
      <c r="N35" s="7" t="str">
        <f>IF(O35=""," ",VLOOKUP(O35,'[8]2012 личен състав ОТД'!$A:$AO,2,FALSE))</f>
        <v xml:space="preserve"> </v>
      </c>
      <c r="O35" s="3"/>
      <c r="P35" s="7" t="str">
        <f>IF(O35=""," ",VLOOKUP(O35,'[8]2012 личен състав ОТД'!$A:$AO,13,FALSE))</f>
        <v xml:space="preserve"> </v>
      </c>
      <c r="Q35" s="3" t="str">
        <f>IF(O35=""," ",VLOOKUP(O35,'[8]2012 личен състав ОТД'!$A:$AO,12,FALSE))</f>
        <v xml:space="preserve"> </v>
      </c>
      <c r="R35" s="57" t="str">
        <f>IF(A35=""," ",VLOOKUP(A35,'Профилиращ лист'!A:B,2,FALSE))</f>
        <v>СПЕ</v>
      </c>
      <c r="S35" s="57"/>
      <c r="T35" s="57" t="e">
        <f t="shared" ref="T35:T66" ca="1" si="16">Години-P35</f>
        <v>#VALUE!</v>
      </c>
      <c r="U35" s="57"/>
    </row>
    <row r="36" spans="1:28" x14ac:dyDescent="0.25">
      <c r="A36" s="8" t="s">
        <v>31</v>
      </c>
      <c r="B36" s="4">
        <v>30</v>
      </c>
      <c r="C36" s="4">
        <v>45</v>
      </c>
      <c r="D36" s="4">
        <v>30</v>
      </c>
      <c r="E36" s="4">
        <v>15</v>
      </c>
      <c r="F36" s="4">
        <v>0</v>
      </c>
      <c r="G36" s="4">
        <f t="shared" ref="G36:G43" si="17">H36-C36</f>
        <v>45</v>
      </c>
      <c r="H36" s="4">
        <f t="shared" ref="H36:H43" si="18">I36*30</f>
        <v>90</v>
      </c>
      <c r="I36" s="4">
        <v>3</v>
      </c>
      <c r="J36" s="4" t="s">
        <v>12</v>
      </c>
      <c r="K36" s="73">
        <f t="shared" si="13"/>
        <v>75</v>
      </c>
      <c r="L36" s="73">
        <f t="shared" si="14"/>
        <v>60</v>
      </c>
      <c r="M36" s="73">
        <f t="shared" si="15"/>
        <v>15</v>
      </c>
      <c r="N36" s="7" t="str">
        <f>IF(O36=""," ",VLOOKUP(O36,'[8]2012 личен състав ОТД'!$A:$AO,2,FALSE))</f>
        <v>доц. д-р Мила Кръстева</v>
      </c>
      <c r="O36" s="3" t="s">
        <v>488</v>
      </c>
      <c r="P36" s="7">
        <f>IF(O36=""," ",VLOOKUP(O36,'[8]2012 личен състав ОТД'!$A:$AO,13,FALSE))</f>
        <v>1960</v>
      </c>
      <c r="Q36" s="3" t="str">
        <f>IF(O36=""," ",VLOOKUP(O36,'[8]2012 личен състав ОТД'!$A:$AO,12,FALSE))</f>
        <v>ОТД</v>
      </c>
      <c r="R36" s="57" t="str">
        <f>IF(A36=""," ",VLOOKUP(A36,'Профилиращ лист'!A:B,2,FALSE))</f>
        <v>СПЕ</v>
      </c>
      <c r="S36" s="57"/>
      <c r="T36" s="57">
        <f t="shared" ca="1" si="16"/>
        <v>53</v>
      </c>
      <c r="U36" s="57"/>
    </row>
    <row r="37" spans="1:28" x14ac:dyDescent="0.25">
      <c r="A37" s="8" t="s">
        <v>40</v>
      </c>
      <c r="B37" s="8">
        <v>30</v>
      </c>
      <c r="C37" s="4">
        <v>45</v>
      </c>
      <c r="D37" s="4">
        <v>30</v>
      </c>
      <c r="E37" s="4">
        <v>15</v>
      </c>
      <c r="F37" s="4">
        <f>C37-D37-E37</f>
        <v>0</v>
      </c>
      <c r="G37" s="4">
        <f t="shared" si="17"/>
        <v>45</v>
      </c>
      <c r="H37" s="4">
        <f t="shared" si="18"/>
        <v>90</v>
      </c>
      <c r="I37" s="4">
        <v>3</v>
      </c>
      <c r="J37" s="4" t="s">
        <v>12</v>
      </c>
      <c r="K37" s="73">
        <f t="shared" si="13"/>
        <v>45</v>
      </c>
      <c r="L37" s="73">
        <f t="shared" si="14"/>
        <v>30</v>
      </c>
      <c r="M37" s="73">
        <f t="shared" si="15"/>
        <v>15</v>
      </c>
      <c r="N37" s="7" t="str">
        <f>IF(O37=""," ",VLOOKUP(O37,'[8]2012 личен състав ОТД'!$A:$AO,2,FALSE))</f>
        <v>проф. дфн Диана Иванова</v>
      </c>
      <c r="O37" s="3" t="s">
        <v>469</v>
      </c>
      <c r="P37" s="7">
        <f>IF(O37=""," ",VLOOKUP(O37,'[8]2012 личен състав ОТД'!$A:$AO,13,FALSE))</f>
        <v>1950</v>
      </c>
      <c r="Q37" s="3" t="str">
        <f>IF(O37=""," ",VLOOKUP(O37,'[8]2012 личен състав ОТД'!$A:$AO,12,FALSE))</f>
        <v>ОТД</v>
      </c>
      <c r="R37" s="57" t="str">
        <f>IF(A37=""," ",VLOOKUP(A37,'Профилиращ лист'!A:B,2,FALSE))</f>
        <v>СПЕ</v>
      </c>
      <c r="S37" s="57"/>
      <c r="T37" s="57">
        <f t="shared" ca="1" si="16"/>
        <v>63</v>
      </c>
      <c r="U37" s="57"/>
    </row>
    <row r="38" spans="1:28" x14ac:dyDescent="0.25">
      <c r="A38" s="8" t="s">
        <v>41</v>
      </c>
      <c r="B38" s="8">
        <v>30</v>
      </c>
      <c r="C38" s="4">
        <v>30</v>
      </c>
      <c r="D38" s="4">
        <v>15</v>
      </c>
      <c r="E38" s="4">
        <v>15</v>
      </c>
      <c r="F38" s="4">
        <v>0</v>
      </c>
      <c r="G38" s="4">
        <f t="shared" si="17"/>
        <v>60</v>
      </c>
      <c r="H38" s="4">
        <f t="shared" si="18"/>
        <v>90</v>
      </c>
      <c r="I38" s="4">
        <v>3</v>
      </c>
      <c r="J38" s="6" t="s">
        <v>12</v>
      </c>
      <c r="K38" s="73">
        <f t="shared" si="13"/>
        <v>30</v>
      </c>
      <c r="L38" s="73">
        <f t="shared" si="14"/>
        <v>15</v>
      </c>
      <c r="M38" s="73">
        <f t="shared" si="15"/>
        <v>15</v>
      </c>
      <c r="N38" s="7" t="str">
        <f>IF(O38=""," ",VLOOKUP(O38,'[8]2012 личен състав ОТД'!$A:$AO,2,FALSE))</f>
        <v>гл. ас. д-р Атанас Манчоров</v>
      </c>
      <c r="O38" s="3" t="s">
        <v>489</v>
      </c>
      <c r="P38" s="7">
        <f>IF(O38=""," ",VLOOKUP(O38,'[8]2012 личен състав ОТД'!$A:$AO,13,FALSE))</f>
        <v>1966</v>
      </c>
      <c r="Q38" s="3" t="str">
        <f>IF(O38=""," ",VLOOKUP(O38,'[8]2012 личен състав ОТД'!$A:$AO,12,FALSE))</f>
        <v>ОТД</v>
      </c>
      <c r="R38" s="57" t="str">
        <f>IF(A38=""," ",VLOOKUP(A38,'Профилиращ лист'!A:B,2,FALSE))</f>
        <v>СПЕ</v>
      </c>
      <c r="S38" s="57"/>
      <c r="T38" s="57">
        <f t="shared" ca="1" si="16"/>
        <v>47</v>
      </c>
      <c r="U38" s="57"/>
    </row>
    <row r="39" spans="1:28" x14ac:dyDescent="0.25">
      <c r="A39" s="8" t="s">
        <v>15</v>
      </c>
      <c r="B39" s="8">
        <v>90</v>
      </c>
      <c r="C39" s="4">
        <v>75</v>
      </c>
      <c r="D39" s="4">
        <v>0</v>
      </c>
      <c r="E39" s="4">
        <v>0</v>
      </c>
      <c r="F39" s="4">
        <v>75</v>
      </c>
      <c r="G39" s="4">
        <f t="shared" si="17"/>
        <v>135</v>
      </c>
      <c r="H39" s="4">
        <f t="shared" si="18"/>
        <v>210</v>
      </c>
      <c r="I39" s="4">
        <v>7</v>
      </c>
      <c r="J39" s="6" t="s">
        <v>12</v>
      </c>
      <c r="K39" s="73">
        <f t="shared" si="13"/>
        <v>690</v>
      </c>
      <c r="L39" s="73">
        <f t="shared" si="14"/>
        <v>0</v>
      </c>
      <c r="M39" s="73">
        <f t="shared" si="15"/>
        <v>675</v>
      </c>
      <c r="N39" s="7" t="str">
        <f>IF(O39=""," ",VLOOKUP(O39,'[8]2012 личен състав ОТД'!$A:$AO,2,FALSE))</f>
        <v xml:space="preserve"> </v>
      </c>
      <c r="O39" s="3"/>
      <c r="P39" s="7" t="str">
        <f>IF(O39=""," ",VLOOKUP(O39,'[8]2012 личен състав ОТД'!$A:$AO,13,FALSE))</f>
        <v xml:space="preserve"> </v>
      </c>
      <c r="Q39" s="3" t="str">
        <f>IF(O39=""," ",VLOOKUP(O39,'[8]2012 личен състав ОТД'!$A:$AO,12,FALSE))</f>
        <v xml:space="preserve"> </v>
      </c>
      <c r="R39" s="57" t="str">
        <f>IF(A39=""," ",VLOOKUP(A39,'Профилиращ лист'!A:B,2,FALSE))</f>
        <v>ПРА</v>
      </c>
      <c r="S39" s="57"/>
      <c r="T39" s="57" t="e">
        <f t="shared" ca="1" si="16"/>
        <v>#VALUE!</v>
      </c>
      <c r="U39" s="57"/>
    </row>
    <row r="40" spans="1:28" ht="17.100000000000001" customHeight="1" x14ac:dyDescent="0.25">
      <c r="A40" s="8" t="s">
        <v>42</v>
      </c>
      <c r="B40" s="4">
        <v>60</v>
      </c>
      <c r="C40" s="4">
        <v>60</v>
      </c>
      <c r="D40" s="4">
        <v>60</v>
      </c>
      <c r="E40" s="4">
        <v>0</v>
      </c>
      <c r="F40" s="4">
        <v>0</v>
      </c>
      <c r="G40" s="4">
        <f t="shared" si="17"/>
        <v>60</v>
      </c>
      <c r="H40" s="4">
        <f t="shared" si="18"/>
        <v>120</v>
      </c>
      <c r="I40" s="4">
        <v>4</v>
      </c>
      <c r="J40" s="4" t="s">
        <v>12</v>
      </c>
      <c r="K40" s="73">
        <f t="shared" si="13"/>
        <v>60</v>
      </c>
      <c r="L40" s="73">
        <f t="shared" si="14"/>
        <v>60</v>
      </c>
      <c r="M40" s="73">
        <f t="shared" si="15"/>
        <v>0</v>
      </c>
      <c r="N40" s="7" t="str">
        <f>IF(O40=""," ",VLOOKUP(O40,'[8]2012 личен състав ОТД'!$A:$AO,2,FALSE))</f>
        <v>доц. д-р Николай Нейчев</v>
      </c>
      <c r="O40" s="3" t="s">
        <v>471</v>
      </c>
      <c r="P40" s="7">
        <f>IF(O40=""," ",VLOOKUP(O40,'[8]2012 личен състав ОТД'!$A:$AO,13,FALSE))</f>
        <v>1959</v>
      </c>
      <c r="Q40" s="3" t="str">
        <f>IF(O40=""," ",VLOOKUP(O40,'[8]2012 личен състав ОТД'!$A:$AO,12,FALSE))</f>
        <v>ОТД</v>
      </c>
      <c r="R40" s="57" t="str">
        <f>IF(A40=""," ",VLOOKUP(A40,'Профилиращ лист'!A:B,2,FALSE))</f>
        <v>ОФД</v>
      </c>
      <c r="S40" s="57"/>
      <c r="T40" s="57">
        <f t="shared" ca="1" si="16"/>
        <v>54</v>
      </c>
      <c r="U40" s="57"/>
    </row>
    <row r="41" spans="1:28" ht="17.100000000000001" customHeight="1" x14ac:dyDescent="0.25">
      <c r="A41" s="8" t="s">
        <v>43</v>
      </c>
      <c r="B41" s="8">
        <v>30</v>
      </c>
      <c r="C41" s="4">
        <v>30</v>
      </c>
      <c r="D41" s="4">
        <v>15</v>
      </c>
      <c r="E41" s="4">
        <v>15</v>
      </c>
      <c r="F41" s="4">
        <v>0</v>
      </c>
      <c r="G41" s="4">
        <f t="shared" si="17"/>
        <v>30</v>
      </c>
      <c r="H41" s="4">
        <f t="shared" si="18"/>
        <v>60</v>
      </c>
      <c r="I41" s="4">
        <v>2</v>
      </c>
      <c r="J41" s="4" t="s">
        <v>14</v>
      </c>
      <c r="K41" s="73">
        <f t="shared" si="13"/>
        <v>60</v>
      </c>
      <c r="L41" s="73">
        <f t="shared" si="14"/>
        <v>30</v>
      </c>
      <c r="M41" s="73">
        <f t="shared" si="15"/>
        <v>30</v>
      </c>
      <c r="N41" s="7" t="str">
        <f>IF(O41=""," ",VLOOKUP(O41,'[8]2012 личен състав ОТД'!$A:$AO,2,FALSE))</f>
        <v xml:space="preserve"> </v>
      </c>
      <c r="O41" s="3"/>
      <c r="P41" s="7" t="str">
        <f>IF(O41=""," ",VLOOKUP(O41,'[8]2012 личен състав ОТД'!$A:$AO,13,FALSE))</f>
        <v xml:space="preserve"> </v>
      </c>
      <c r="Q41" s="3" t="str">
        <f>IF(O41=""," ",VLOOKUP(O41,'[8]2012 личен състав ОТД'!$A:$AO,12,FALSE))</f>
        <v xml:space="preserve"> </v>
      </c>
      <c r="R41" s="57" t="str">
        <f>IF(A41=""," ",VLOOKUP(A41,'Профилиращ лист'!A:B,2,FALSE))</f>
        <v>СПЕ</v>
      </c>
      <c r="S41" s="57"/>
      <c r="T41" s="57" t="e">
        <f t="shared" ca="1" si="16"/>
        <v>#VALUE!</v>
      </c>
      <c r="U41" s="57"/>
    </row>
    <row r="42" spans="1:28" ht="17.100000000000001" customHeight="1" x14ac:dyDescent="0.25">
      <c r="A42" s="8" t="s">
        <v>44</v>
      </c>
      <c r="B42" s="4">
        <v>30</v>
      </c>
      <c r="C42" s="4">
        <v>45</v>
      </c>
      <c r="D42" s="4">
        <v>30</v>
      </c>
      <c r="E42" s="4">
        <v>15</v>
      </c>
      <c r="F42" s="4">
        <v>0</v>
      </c>
      <c r="G42" s="4">
        <f t="shared" si="17"/>
        <v>15</v>
      </c>
      <c r="H42" s="4">
        <f t="shared" si="18"/>
        <v>60</v>
      </c>
      <c r="I42" s="4">
        <v>2</v>
      </c>
      <c r="J42" s="4" t="s">
        <v>14</v>
      </c>
      <c r="K42" s="73">
        <f t="shared" si="13"/>
        <v>90</v>
      </c>
      <c r="L42" s="73">
        <f t="shared" si="14"/>
        <v>60</v>
      </c>
      <c r="M42" s="73">
        <f t="shared" si="15"/>
        <v>30</v>
      </c>
      <c r="N42" s="7" t="str">
        <f>IF(O42=""," ",VLOOKUP(O42,'[8]2012 личен състав ОТД'!$A:$AO,2,FALSE))</f>
        <v xml:space="preserve"> </v>
      </c>
      <c r="O42" s="3"/>
      <c r="P42" s="7" t="str">
        <f>IF(O42=""," ",VLOOKUP(O42,'[8]2012 личен състав ОТД'!$A:$AO,13,FALSE))</f>
        <v xml:space="preserve"> </v>
      </c>
      <c r="Q42" s="3" t="str">
        <f>IF(O42=""," ",VLOOKUP(O42,'[8]2012 личен състав ОТД'!$A:$AO,12,FALSE))</f>
        <v xml:space="preserve"> </v>
      </c>
      <c r="R42" s="57" t="str">
        <f>IF(A42=""," ",VLOOKUP(A42,'Профилиращ лист'!A:B,2,FALSE))</f>
        <v>СПЕ</v>
      </c>
      <c r="S42" s="57"/>
      <c r="T42" s="57" t="e">
        <f t="shared" ca="1" si="16"/>
        <v>#VALUE!</v>
      </c>
      <c r="U42" s="57"/>
    </row>
    <row r="43" spans="1:28" x14ac:dyDescent="0.25">
      <c r="A43" s="8" t="s">
        <v>45</v>
      </c>
      <c r="B43" s="8">
        <v>30</v>
      </c>
      <c r="C43" s="4">
        <v>15</v>
      </c>
      <c r="D43" s="4">
        <v>15</v>
      </c>
      <c r="E43" s="4">
        <v>0</v>
      </c>
      <c r="F43" s="4">
        <v>0</v>
      </c>
      <c r="G43" s="4">
        <f t="shared" si="17"/>
        <v>45</v>
      </c>
      <c r="H43" s="4">
        <f t="shared" si="18"/>
        <v>60</v>
      </c>
      <c r="I43" s="4">
        <v>2</v>
      </c>
      <c r="J43" s="6" t="s">
        <v>12</v>
      </c>
      <c r="K43" s="73">
        <f t="shared" si="13"/>
        <v>15</v>
      </c>
      <c r="L43" s="73">
        <f t="shared" si="14"/>
        <v>15</v>
      </c>
      <c r="M43" s="73">
        <f t="shared" si="15"/>
        <v>0</v>
      </c>
      <c r="N43" s="7" t="str">
        <f>IF(O43=""," ",VLOOKUP(O43,'[8]2012 личен състав ОТД'!$A:$AO,2,FALSE))</f>
        <v>доц. д-р Йордан Костурков</v>
      </c>
      <c r="O43" s="3" t="s">
        <v>486</v>
      </c>
      <c r="P43" s="7">
        <f>IF(O43=""," ",VLOOKUP(O43,'[8]2012 личен състав ОТД'!$A:$AO,13,FALSE))</f>
        <v>1948</v>
      </c>
      <c r="Q43" s="3" t="str">
        <f>IF(O43=""," ",VLOOKUP(O43,'[8]2012 личен състав ОТД'!$A:$AO,12,FALSE))</f>
        <v>ОТД</v>
      </c>
      <c r="R43" s="57" t="str">
        <f>IF(A43=""," ",VLOOKUP(A43,'Профилиращ лист'!A:B,2,FALSE))</f>
        <v>ОФД</v>
      </c>
      <c r="S43" s="57"/>
      <c r="T43" s="57">
        <f t="shared" ca="1" si="16"/>
        <v>65</v>
      </c>
      <c r="U43" s="57"/>
      <c r="AB43" s="7" t="s">
        <v>574</v>
      </c>
    </row>
    <row r="44" spans="1:28" x14ac:dyDescent="0.25">
      <c r="B44" s="9">
        <f t="shared" ref="B44:I44" si="19">SUM(B35:B43)</f>
        <v>375</v>
      </c>
      <c r="C44" s="9">
        <f t="shared" si="19"/>
        <v>390</v>
      </c>
      <c r="D44" s="9">
        <f t="shared" si="19"/>
        <v>225</v>
      </c>
      <c r="E44" s="9">
        <f t="shared" si="19"/>
        <v>90</v>
      </c>
      <c r="F44" s="9">
        <f t="shared" si="19"/>
        <v>75</v>
      </c>
      <c r="G44" s="9">
        <f t="shared" si="19"/>
        <v>510</v>
      </c>
      <c r="H44" s="9">
        <f t="shared" si="19"/>
        <v>900</v>
      </c>
      <c r="I44" s="9">
        <f t="shared" si="19"/>
        <v>30</v>
      </c>
      <c r="J44" s="6"/>
      <c r="K44" s="73">
        <f t="shared" si="13"/>
        <v>0</v>
      </c>
      <c r="L44" s="73">
        <f t="shared" si="14"/>
        <v>0</v>
      </c>
      <c r="M44" s="73">
        <f t="shared" si="15"/>
        <v>0</v>
      </c>
      <c r="N44" s="7" t="str">
        <f>IF(O44=""," ",VLOOKUP(O44,'[8]2012 личен състав ОТД'!$A:$AO,2,FALSE))</f>
        <v xml:space="preserve"> </v>
      </c>
      <c r="O44" s="3"/>
      <c r="P44" s="7" t="str">
        <f>IF(O44=""," ",VLOOKUP(O44,'[8]2012 личен състав ОТД'!$A:$AO,13,FALSE))</f>
        <v xml:space="preserve"> </v>
      </c>
      <c r="Q44" s="3" t="str">
        <f>IF(O44=""," ",VLOOKUP(O44,'[8]2012 личен състав ОТД'!$A:$AO,12,FALSE))</f>
        <v xml:space="preserve"> </v>
      </c>
      <c r="R44" s="57" t="str">
        <f>IF(A44=""," ",VLOOKUP(A44,'Профилиращ лист'!A:B,2,FALSE))</f>
        <v xml:space="preserve"> </v>
      </c>
      <c r="S44" s="57"/>
      <c r="T44" s="57" t="e">
        <f t="shared" ca="1" si="16"/>
        <v>#VALUE!</v>
      </c>
      <c r="U44" s="57"/>
    </row>
    <row r="45" spans="1:28" x14ac:dyDescent="0.25">
      <c r="A45" s="1" t="s">
        <v>46</v>
      </c>
      <c r="B45" s="1"/>
      <c r="J45" s="6"/>
      <c r="K45" s="73">
        <f t="shared" si="13"/>
        <v>0</v>
      </c>
      <c r="L45" s="73">
        <f t="shared" si="14"/>
        <v>0</v>
      </c>
      <c r="M45" s="73">
        <f t="shared" si="15"/>
        <v>0</v>
      </c>
      <c r="N45" s="7" t="str">
        <f>IF(O45=""," ",VLOOKUP(O45,'[8]2012 личен състав ОТД'!$A:$AO,2,FALSE))</f>
        <v xml:space="preserve"> </v>
      </c>
      <c r="O45" s="3"/>
      <c r="P45" s="7" t="str">
        <f>IF(O45=""," ",VLOOKUP(O45,'[8]2012 личен състав ОТД'!$A:$AO,13,FALSE))</f>
        <v xml:space="preserve"> </v>
      </c>
      <c r="Q45" s="3" t="str">
        <f>IF(O45=""," ",VLOOKUP(O45,'[8]2012 личен състав ОТД'!$A:$AO,12,FALSE))</f>
        <v xml:space="preserve"> </v>
      </c>
      <c r="R45" s="57"/>
      <c r="S45" s="57"/>
      <c r="T45" s="57" t="e">
        <f t="shared" ca="1" si="16"/>
        <v>#VALUE!</v>
      </c>
      <c r="U45" s="57"/>
    </row>
    <row r="46" spans="1:28" x14ac:dyDescent="0.25">
      <c r="A46" s="8" t="s">
        <v>39</v>
      </c>
      <c r="B46" s="4">
        <v>30</v>
      </c>
      <c r="C46" s="4">
        <v>60</v>
      </c>
      <c r="D46" s="4">
        <v>30</v>
      </c>
      <c r="E46" s="4">
        <v>30</v>
      </c>
      <c r="F46" s="4">
        <v>0</v>
      </c>
      <c r="G46" s="4">
        <f>H46-C46</f>
        <v>30</v>
      </c>
      <c r="H46" s="4">
        <f>I46*30</f>
        <v>90</v>
      </c>
      <c r="I46" s="4">
        <v>3</v>
      </c>
      <c r="J46" s="4" t="s">
        <v>12</v>
      </c>
      <c r="K46" s="73">
        <f t="shared" si="13"/>
        <v>105</v>
      </c>
      <c r="L46" s="73">
        <f t="shared" si="14"/>
        <v>60</v>
      </c>
      <c r="M46" s="73">
        <f t="shared" si="15"/>
        <v>45</v>
      </c>
      <c r="N46" s="7" t="str">
        <f>IF(O46=""," ",VLOOKUP(O46,'[8]2012 личен състав ОТД'!$A:$AO,2,FALSE))</f>
        <v>проф. дфн Клео Протохристова</v>
      </c>
      <c r="O46" s="3" t="s">
        <v>490</v>
      </c>
      <c r="P46" s="7">
        <f>IF(O46=""," ",VLOOKUP(O46,'[8]2012 личен състав ОТД'!$A:$AO,13,FALSE))</f>
        <v>1950</v>
      </c>
      <c r="Q46" s="3" t="str">
        <f>IF(O46=""," ",VLOOKUP(O46,'[8]2012 личен състав ОТД'!$A:$AO,12,FALSE))</f>
        <v>ОТД</v>
      </c>
      <c r="R46" s="57" t="str">
        <f>IF(A46=""," ",VLOOKUP(A46,'Профилиращ лист'!A:B,2,FALSE))</f>
        <v>СПЕ</v>
      </c>
      <c r="S46" s="57"/>
      <c r="T46" s="57">
        <f t="shared" ca="1" si="16"/>
        <v>63</v>
      </c>
      <c r="U46" s="57"/>
    </row>
    <row r="47" spans="1:28" ht="12.95" customHeight="1" x14ac:dyDescent="0.25">
      <c r="A47" s="8" t="s">
        <v>47</v>
      </c>
      <c r="B47" s="4">
        <v>30</v>
      </c>
      <c r="C47" s="4">
        <v>30</v>
      </c>
      <c r="D47" s="4">
        <v>30</v>
      </c>
      <c r="E47" s="4">
        <v>0</v>
      </c>
      <c r="F47" s="4">
        <v>0</v>
      </c>
      <c r="G47" s="4">
        <f t="shared" ref="G47:G54" si="20">H47-C47</f>
        <v>60</v>
      </c>
      <c r="H47" s="4">
        <f t="shared" ref="H47:H54" si="21">I47*30</f>
        <v>90</v>
      </c>
      <c r="I47" s="4">
        <v>3</v>
      </c>
      <c r="J47" s="4" t="s">
        <v>14</v>
      </c>
      <c r="K47" s="73">
        <f t="shared" si="13"/>
        <v>90</v>
      </c>
      <c r="L47" s="73">
        <f t="shared" si="14"/>
        <v>60</v>
      </c>
      <c r="M47" s="73">
        <f t="shared" si="15"/>
        <v>30</v>
      </c>
      <c r="N47" s="7" t="str">
        <f>IF(O47=""," ",VLOOKUP(O47,'[8]2012 личен състав ОТД'!$A:$AO,2,FALSE))</f>
        <v xml:space="preserve"> </v>
      </c>
      <c r="O47" s="3"/>
      <c r="P47" s="7" t="str">
        <f>IF(O47=""," ",VLOOKUP(O47,'[8]2012 личен състав ОТД'!$A:$AO,13,FALSE))</f>
        <v xml:space="preserve"> </v>
      </c>
      <c r="Q47" s="3" t="str">
        <f>IF(O47=""," ",VLOOKUP(O47,'[8]2012 личен състав ОТД'!$A:$AO,12,FALSE))</f>
        <v xml:space="preserve"> </v>
      </c>
      <c r="R47" s="57" t="str">
        <f>IF(A47=""," ",VLOOKUP(A47,'Профилиращ лист'!A:B,2,FALSE))</f>
        <v>СПЕ</v>
      </c>
      <c r="S47" s="57"/>
      <c r="T47" s="57" t="e">
        <f t="shared" ca="1" si="16"/>
        <v>#VALUE!</v>
      </c>
      <c r="U47" s="57"/>
    </row>
    <row r="48" spans="1:28" ht="12.95" customHeight="1" x14ac:dyDescent="0.25">
      <c r="A48" s="8" t="s">
        <v>48</v>
      </c>
      <c r="B48" s="8">
        <v>45</v>
      </c>
      <c r="C48" s="4">
        <v>30</v>
      </c>
      <c r="D48" s="4">
        <v>30</v>
      </c>
      <c r="E48" s="4">
        <v>0</v>
      </c>
      <c r="F48" s="4">
        <v>0</v>
      </c>
      <c r="G48" s="4">
        <f t="shared" si="20"/>
        <v>60</v>
      </c>
      <c r="H48" s="4">
        <f t="shared" si="21"/>
        <v>90</v>
      </c>
      <c r="I48" s="4">
        <v>3</v>
      </c>
      <c r="J48" s="4" t="s">
        <v>14</v>
      </c>
      <c r="K48" s="73">
        <f t="shared" si="13"/>
        <v>45</v>
      </c>
      <c r="L48" s="73">
        <f t="shared" si="14"/>
        <v>45</v>
      </c>
      <c r="M48" s="73">
        <f t="shared" si="15"/>
        <v>0</v>
      </c>
      <c r="N48" s="7" t="str">
        <f>IF(O48=""," ",VLOOKUP(O48,'[8]2012 личен състав ОТД'!$A:$AO,2,FALSE))</f>
        <v xml:space="preserve"> </v>
      </c>
      <c r="O48" s="3"/>
      <c r="P48" s="7" t="str">
        <f>IF(O48=""," ",VLOOKUP(O48,'[8]2012 личен състав ОТД'!$A:$AO,13,FALSE))</f>
        <v xml:space="preserve"> </v>
      </c>
      <c r="Q48" s="3" t="str">
        <f>IF(O48=""," ",VLOOKUP(O48,'[8]2012 личен състав ОТД'!$A:$AO,12,FALSE))</f>
        <v xml:space="preserve"> </v>
      </c>
      <c r="R48" s="57" t="str">
        <f>IF(A48=""," ",VLOOKUP(A48,'Профилиращ лист'!A:B,2,FALSE))</f>
        <v>ИЗБ</v>
      </c>
      <c r="S48" s="57"/>
      <c r="T48" s="57" t="e">
        <f t="shared" ca="1" si="16"/>
        <v>#VALUE!</v>
      </c>
      <c r="U48" s="57"/>
    </row>
    <row r="49" spans="1:21" ht="12.95" customHeight="1" x14ac:dyDescent="0.25">
      <c r="A49" s="8" t="s">
        <v>49</v>
      </c>
      <c r="B49" s="4">
        <v>45</v>
      </c>
      <c r="C49" s="4">
        <v>30</v>
      </c>
      <c r="D49" s="4">
        <v>30</v>
      </c>
      <c r="E49" s="4">
        <v>0</v>
      </c>
      <c r="F49" s="4">
        <v>0</v>
      </c>
      <c r="G49" s="4">
        <f t="shared" si="20"/>
        <v>60</v>
      </c>
      <c r="H49" s="4">
        <f t="shared" si="21"/>
        <v>90</v>
      </c>
      <c r="I49" s="4">
        <v>3</v>
      </c>
      <c r="J49" s="4" t="s">
        <v>14</v>
      </c>
      <c r="K49" s="73">
        <f t="shared" si="13"/>
        <v>75</v>
      </c>
      <c r="L49" s="73">
        <f t="shared" si="14"/>
        <v>60</v>
      </c>
      <c r="M49" s="73">
        <f t="shared" si="15"/>
        <v>15</v>
      </c>
      <c r="N49" s="7" t="str">
        <f>IF(O49=""," ",VLOOKUP(O49,'[8]2012 личен състав ОТД'!$A:$AO,2,FALSE))</f>
        <v xml:space="preserve"> </v>
      </c>
      <c r="O49" s="3"/>
      <c r="P49" s="7" t="str">
        <f>IF(O49=""," ",VLOOKUP(O49,'[8]2012 личен състав ОТД'!$A:$AO,13,FALSE))</f>
        <v xml:space="preserve"> </v>
      </c>
      <c r="Q49" s="3" t="str">
        <f>IF(O49=""," ",VLOOKUP(O49,'[8]2012 личен състав ОТД'!$A:$AO,12,FALSE))</f>
        <v xml:space="preserve"> </v>
      </c>
      <c r="R49" s="57" t="str">
        <f>IF(A49=""," ",VLOOKUP(A49,'Профилиращ лист'!A:B,2,FALSE))</f>
        <v>ОФД</v>
      </c>
      <c r="S49" s="57"/>
      <c r="T49" s="57" t="e">
        <f t="shared" ca="1" si="16"/>
        <v>#VALUE!</v>
      </c>
      <c r="U49" s="57"/>
    </row>
    <row r="50" spans="1:21" ht="12.95" customHeight="1" x14ac:dyDescent="0.25">
      <c r="A50" s="8" t="s">
        <v>15</v>
      </c>
      <c r="B50" s="8">
        <v>90</v>
      </c>
      <c r="C50" s="4">
        <v>105</v>
      </c>
      <c r="D50" s="4">
        <v>0</v>
      </c>
      <c r="E50" s="4">
        <v>0</v>
      </c>
      <c r="F50" s="4">
        <v>105</v>
      </c>
      <c r="G50" s="4">
        <f t="shared" si="20"/>
        <v>105</v>
      </c>
      <c r="H50" s="4">
        <f t="shared" si="21"/>
        <v>210</v>
      </c>
      <c r="I50" s="4">
        <v>7</v>
      </c>
      <c r="J50" s="4" t="s">
        <v>14</v>
      </c>
      <c r="K50" s="73">
        <f t="shared" si="13"/>
        <v>690</v>
      </c>
      <c r="L50" s="73">
        <f t="shared" si="14"/>
        <v>0</v>
      </c>
      <c r="M50" s="73">
        <f t="shared" si="15"/>
        <v>675</v>
      </c>
      <c r="N50" s="7" t="str">
        <f>IF(O50=""," ",VLOOKUP(O50,'[8]2012 личен състав ОТД'!$A:$AO,2,FALSE))</f>
        <v xml:space="preserve"> </v>
      </c>
      <c r="O50" s="3"/>
      <c r="P50" s="7" t="str">
        <f>IF(O50=""," ",VLOOKUP(O50,'[8]2012 личен състав ОТД'!$A:$AO,13,FALSE))</f>
        <v xml:space="preserve"> </v>
      </c>
      <c r="Q50" s="3" t="str">
        <f>IF(O50=""," ",VLOOKUP(O50,'[8]2012 личен състав ОТД'!$A:$AO,12,FALSE))</f>
        <v xml:space="preserve"> </v>
      </c>
      <c r="R50" s="57" t="str">
        <f>IF(A50=""," ",VLOOKUP(A50,'Профилиращ лист'!A:B,2,FALSE))</f>
        <v>ПРА</v>
      </c>
      <c r="S50" s="57"/>
      <c r="T50" s="57" t="e">
        <f t="shared" ca="1" si="16"/>
        <v>#VALUE!</v>
      </c>
      <c r="U50" s="57"/>
    </row>
    <row r="51" spans="1:21" x14ac:dyDescent="0.25">
      <c r="A51" s="8" t="s">
        <v>48</v>
      </c>
      <c r="B51" s="8">
        <v>0</v>
      </c>
      <c r="C51" s="4">
        <v>15</v>
      </c>
      <c r="D51" s="4">
        <v>15</v>
      </c>
      <c r="E51" s="4">
        <v>0</v>
      </c>
      <c r="F51" s="4">
        <v>0</v>
      </c>
      <c r="G51" s="4">
        <f>H51-C51</f>
        <v>75</v>
      </c>
      <c r="H51" s="4">
        <f>I51*30</f>
        <v>90</v>
      </c>
      <c r="I51" s="4">
        <v>3</v>
      </c>
      <c r="J51" s="4" t="s">
        <v>12</v>
      </c>
      <c r="K51" s="73">
        <f t="shared" si="13"/>
        <v>45</v>
      </c>
      <c r="L51" s="73">
        <f t="shared" si="14"/>
        <v>45</v>
      </c>
      <c r="M51" s="73">
        <f t="shared" si="15"/>
        <v>0</v>
      </c>
      <c r="N51" s="7" t="str">
        <f>IF(O51=""," ",VLOOKUP(O51,'[8]2012 личен състав ОТД'!$A:$AO,2,FALSE))</f>
        <v>доц. д-р Михаил Грънчаров</v>
      </c>
      <c r="O51" s="3" t="s">
        <v>484</v>
      </c>
      <c r="P51" s="7">
        <f>IF(O51=""," ",VLOOKUP(O51,'[8]2012 личен състав ОТД'!$A:$AO,13,FALSE))</f>
        <v>1946</v>
      </c>
      <c r="Q51" s="3" t="str">
        <f>IF(O51=""," ",VLOOKUP(O51,'[8]2012 личен състав ОТД'!$A:$AO,12,FALSE))</f>
        <v>ОТД</v>
      </c>
      <c r="R51" s="57" t="str">
        <f>IF(A51=""," ",VLOOKUP(A51,'Профилиращ лист'!A:B,2,FALSE))</f>
        <v>ИЗБ</v>
      </c>
      <c r="S51" s="57"/>
      <c r="T51" s="57">
        <f t="shared" ca="1" si="16"/>
        <v>67</v>
      </c>
      <c r="U51" s="57"/>
    </row>
    <row r="52" spans="1:21" ht="12.95" customHeight="1" x14ac:dyDescent="0.25">
      <c r="A52" s="8" t="s">
        <v>50</v>
      </c>
      <c r="B52" s="8">
        <v>30</v>
      </c>
      <c r="C52" s="4">
        <v>30</v>
      </c>
      <c r="D52" s="4">
        <v>15</v>
      </c>
      <c r="E52" s="4">
        <v>15</v>
      </c>
      <c r="F52" s="4">
        <v>0</v>
      </c>
      <c r="G52" s="4">
        <f t="shared" si="20"/>
        <v>30</v>
      </c>
      <c r="H52" s="4">
        <f t="shared" si="21"/>
        <v>60</v>
      </c>
      <c r="I52" s="4">
        <v>2</v>
      </c>
      <c r="J52" s="4" t="s">
        <v>14</v>
      </c>
      <c r="K52" s="73">
        <f t="shared" si="13"/>
        <v>60</v>
      </c>
      <c r="L52" s="73">
        <f t="shared" si="14"/>
        <v>30</v>
      </c>
      <c r="M52" s="73">
        <f t="shared" si="15"/>
        <v>30</v>
      </c>
      <c r="N52" s="7" t="str">
        <f>IF(O52=""," ",VLOOKUP(O52,'[8]2012 личен състав ОТД'!$A:$AO,2,FALSE))</f>
        <v xml:space="preserve"> </v>
      </c>
      <c r="O52" s="3"/>
      <c r="P52" s="7" t="str">
        <f>IF(O52=""," ",VLOOKUP(O52,'[8]2012 личен състав ОТД'!$A:$AO,13,FALSE))</f>
        <v xml:space="preserve"> </v>
      </c>
      <c r="Q52" s="3" t="str">
        <f>IF(O52=""," ",VLOOKUP(O52,'[8]2012 личен състав ОТД'!$A:$AO,12,FALSE))</f>
        <v xml:space="preserve"> </v>
      </c>
      <c r="R52" s="57" t="str">
        <f>IF(A52=""," ",VLOOKUP(A52,'Профилиращ лист'!A:B,2,FALSE))</f>
        <v>СПЕ</v>
      </c>
      <c r="S52" s="57"/>
      <c r="T52" s="57" t="e">
        <f t="shared" ca="1" si="16"/>
        <v>#VALUE!</v>
      </c>
      <c r="U52" s="57"/>
    </row>
    <row r="53" spans="1:21" x14ac:dyDescent="0.25">
      <c r="A53" s="8" t="s">
        <v>43</v>
      </c>
      <c r="B53" s="8">
        <v>30</v>
      </c>
      <c r="C53" s="4">
        <v>30</v>
      </c>
      <c r="D53" s="4">
        <v>15</v>
      </c>
      <c r="E53" s="4">
        <v>15</v>
      </c>
      <c r="F53" s="4">
        <v>0</v>
      </c>
      <c r="G53" s="4">
        <f t="shared" si="20"/>
        <v>60</v>
      </c>
      <c r="H53" s="4">
        <f t="shared" si="21"/>
        <v>90</v>
      </c>
      <c r="I53" s="4">
        <v>3</v>
      </c>
      <c r="J53" s="4" t="s">
        <v>12</v>
      </c>
      <c r="K53" s="73">
        <f t="shared" si="13"/>
        <v>60</v>
      </c>
      <c r="L53" s="73">
        <f t="shared" si="14"/>
        <v>30</v>
      </c>
      <c r="M53" s="73">
        <f t="shared" si="15"/>
        <v>30</v>
      </c>
      <c r="N53" s="7" t="str">
        <f>IF(O53=""," ",VLOOKUP(O53,'[8]2012 личен състав ОТД'!$A:$AO,2,FALSE))</f>
        <v>гл. ас. д-р Снежа Цонева-Матюсън</v>
      </c>
      <c r="O53" s="3" t="s">
        <v>487</v>
      </c>
      <c r="P53" s="7">
        <f>IF(O53=""," ",VLOOKUP(O53,'[8]2012 личен състав ОТД'!$A:$AO,13,FALSE))</f>
        <v>1958</v>
      </c>
      <c r="Q53" s="3" t="str">
        <f>IF(O53=""," ",VLOOKUP(O53,'[8]2012 личен състав ОТД'!$A:$AO,12,FALSE))</f>
        <v>ОТД</v>
      </c>
      <c r="R53" s="57" t="str">
        <f>IF(A53=""," ",VLOOKUP(A53,'Профилиращ лист'!A:B,2,FALSE))</f>
        <v>СПЕ</v>
      </c>
      <c r="S53" s="57"/>
      <c r="T53" s="57">
        <f t="shared" ca="1" si="16"/>
        <v>55</v>
      </c>
      <c r="U53" s="57"/>
    </row>
    <row r="54" spans="1:21" x14ac:dyDescent="0.25">
      <c r="A54" s="8" t="s">
        <v>44</v>
      </c>
      <c r="B54" s="4">
        <v>45</v>
      </c>
      <c r="C54" s="4">
        <v>45</v>
      </c>
      <c r="D54" s="4">
        <v>30</v>
      </c>
      <c r="E54" s="4">
        <v>15</v>
      </c>
      <c r="F54" s="4">
        <v>0</v>
      </c>
      <c r="G54" s="4">
        <f t="shared" si="20"/>
        <v>45</v>
      </c>
      <c r="H54" s="4">
        <f t="shared" si="21"/>
        <v>90</v>
      </c>
      <c r="I54" s="4">
        <v>3</v>
      </c>
      <c r="J54" s="4" t="s">
        <v>12</v>
      </c>
      <c r="K54" s="73">
        <f t="shared" si="13"/>
        <v>90</v>
      </c>
      <c r="L54" s="73">
        <f t="shared" si="14"/>
        <v>60</v>
      </c>
      <c r="M54" s="73">
        <f t="shared" si="15"/>
        <v>30</v>
      </c>
      <c r="N54" s="7" t="str">
        <f>IF(O54=""," ",VLOOKUP(O54,'[8]2012 личен състав ОТД'!$A:$AO,2,FALSE))</f>
        <v>доц. д-р Константин Куцаров</v>
      </c>
      <c r="O54" s="3" t="s">
        <v>491</v>
      </c>
      <c r="P54" s="7">
        <f>IF(O54=""," ",VLOOKUP(O54,'[8]2012 личен състав ОТД'!$A:$AO,13,FALSE))</f>
        <v>1968</v>
      </c>
      <c r="Q54" s="3" t="str">
        <f>IF(O54=""," ",VLOOKUP(O54,'[8]2012 личен състав ОТД'!$A:$AO,12,FALSE))</f>
        <v>ОТД</v>
      </c>
      <c r="R54" s="57" t="str">
        <f>IF(A54=""," ",VLOOKUP(A54,'Профилиращ лист'!A:B,2,FALSE))</f>
        <v>СПЕ</v>
      </c>
      <c r="S54" s="57"/>
      <c r="T54" s="57">
        <f t="shared" ca="1" si="16"/>
        <v>45</v>
      </c>
      <c r="U54" s="57"/>
    </row>
    <row r="55" spans="1:21" x14ac:dyDescent="0.25">
      <c r="B55" s="9">
        <f t="shared" ref="B55:I55" si="22">SUM(B46:B54)</f>
        <v>345</v>
      </c>
      <c r="C55" s="9">
        <f t="shared" si="22"/>
        <v>375</v>
      </c>
      <c r="D55" s="9">
        <f t="shared" si="22"/>
        <v>195</v>
      </c>
      <c r="E55" s="9">
        <f t="shared" si="22"/>
        <v>75</v>
      </c>
      <c r="F55" s="9">
        <f t="shared" si="22"/>
        <v>105</v>
      </c>
      <c r="G55" s="9">
        <f t="shared" si="22"/>
        <v>525</v>
      </c>
      <c r="H55" s="9">
        <f t="shared" si="22"/>
        <v>900</v>
      </c>
      <c r="I55" s="9">
        <f t="shared" si="22"/>
        <v>30</v>
      </c>
      <c r="J55" s="6"/>
      <c r="K55" s="73">
        <f t="shared" si="13"/>
        <v>0</v>
      </c>
      <c r="L55" s="73">
        <f t="shared" si="14"/>
        <v>0</v>
      </c>
      <c r="M55" s="73">
        <f t="shared" si="15"/>
        <v>0</v>
      </c>
      <c r="N55" s="7" t="str">
        <f>IF(O55=""," ",VLOOKUP(O55,'[8]2012 личен състав ОТД'!$A:$AO,2,FALSE))</f>
        <v xml:space="preserve"> </v>
      </c>
      <c r="O55" s="3"/>
      <c r="P55" s="7" t="str">
        <f>IF(O55=""," ",VLOOKUP(O55,'[8]2012 личен състав ОТД'!$A:$AO,13,FALSE))</f>
        <v xml:space="preserve"> </v>
      </c>
      <c r="Q55" s="3" t="str">
        <f>IF(O55=""," ",VLOOKUP(O55,'[8]2012 личен състав ОТД'!$A:$AO,12,FALSE))</f>
        <v xml:space="preserve"> </v>
      </c>
      <c r="R55" s="57" t="str">
        <f>IF(A55=""," ",VLOOKUP(A55,'Профилиращ лист'!A:B,2,FALSE))</f>
        <v xml:space="preserve"> </v>
      </c>
      <c r="S55" s="57"/>
      <c r="T55" s="57" t="e">
        <f t="shared" ca="1" si="16"/>
        <v>#VALUE!</v>
      </c>
      <c r="U55" s="57"/>
    </row>
    <row r="56" spans="1:21" x14ac:dyDescent="0.25">
      <c r="A56" s="1" t="s">
        <v>51</v>
      </c>
      <c r="B56" s="1"/>
      <c r="J56" s="6"/>
      <c r="K56" s="73">
        <f t="shared" si="13"/>
        <v>0</v>
      </c>
      <c r="L56" s="73">
        <f t="shared" si="14"/>
        <v>0</v>
      </c>
      <c r="M56" s="73">
        <f t="shared" si="15"/>
        <v>0</v>
      </c>
      <c r="N56" s="7" t="str">
        <f>IF(O56=""," ",VLOOKUP(O56,'[8]2012 личен състав ОТД'!$A:$AO,2,FALSE))</f>
        <v xml:space="preserve"> </v>
      </c>
      <c r="O56" s="3"/>
      <c r="P56" s="7" t="str">
        <f>IF(O56=""," ",VLOOKUP(O56,'[8]2012 личен състав ОТД'!$A:$AO,13,FALSE))</f>
        <v xml:space="preserve"> </v>
      </c>
      <c r="Q56" s="3" t="str">
        <f>IF(O56=""," ",VLOOKUP(O56,'[8]2012 личен състав ОТД'!$A:$AO,12,FALSE))</f>
        <v xml:space="preserve"> </v>
      </c>
      <c r="R56" s="57" t="e">
        <f>IF(A56=""," ",VLOOKUP(A56,'Профилиращ лист'!A:B,2,FALSE))</f>
        <v>#N/A</v>
      </c>
      <c r="S56" s="57"/>
      <c r="T56" s="57" t="e">
        <f t="shared" ca="1" si="16"/>
        <v>#VALUE!</v>
      </c>
      <c r="U56" s="57"/>
    </row>
    <row r="57" spans="1:21" x14ac:dyDescent="0.25">
      <c r="A57" s="8" t="s">
        <v>47</v>
      </c>
      <c r="B57" s="4">
        <v>45</v>
      </c>
      <c r="C57" s="4">
        <v>60</v>
      </c>
      <c r="D57" s="4">
        <v>30</v>
      </c>
      <c r="E57" s="4">
        <v>30</v>
      </c>
      <c r="F57" s="4">
        <v>0</v>
      </c>
      <c r="G57" s="4">
        <f>H57-C57</f>
        <v>60</v>
      </c>
      <c r="H57" s="4">
        <f>I57*30</f>
        <v>120</v>
      </c>
      <c r="I57" s="4">
        <v>4</v>
      </c>
      <c r="J57" s="4" t="s">
        <v>12</v>
      </c>
      <c r="K57" s="73">
        <f t="shared" si="13"/>
        <v>90</v>
      </c>
      <c r="L57" s="73">
        <f t="shared" si="14"/>
        <v>60</v>
      </c>
      <c r="M57" s="73">
        <f t="shared" si="15"/>
        <v>30</v>
      </c>
      <c r="N57" s="7" t="str">
        <f>IF(O57=""," ",VLOOKUP(O57,'[8]2012 личен състав ОТД'!$A:$AO,2,FALSE))</f>
        <v>доц. д-р Иван Русков</v>
      </c>
      <c r="O57" s="3" t="s">
        <v>492</v>
      </c>
      <c r="P57" s="7">
        <f>IF(O57=""," ",VLOOKUP(O57,'[8]2012 личен състав ОТД'!$A:$AO,13,FALSE))</f>
        <v>1960</v>
      </c>
      <c r="Q57" s="3" t="str">
        <f>IF(O57=""," ",VLOOKUP(O57,'[8]2012 личен състав ОТД'!$A:$AO,12,FALSE))</f>
        <v>ОТД</v>
      </c>
      <c r="R57" s="57" t="str">
        <f>IF(A57=""," ",VLOOKUP(A57,'Профилиращ лист'!A:B,2,FALSE))</f>
        <v>СПЕ</v>
      </c>
      <c r="S57" s="57"/>
      <c r="T57" s="57">
        <f t="shared" ca="1" si="16"/>
        <v>53</v>
      </c>
      <c r="U57" s="57"/>
    </row>
    <row r="58" spans="1:21" x14ac:dyDescent="0.25">
      <c r="A58" s="8" t="s">
        <v>49</v>
      </c>
      <c r="B58" s="4">
        <v>45</v>
      </c>
      <c r="C58" s="4">
        <v>45</v>
      </c>
      <c r="D58" s="4">
        <v>30</v>
      </c>
      <c r="E58" s="4">
        <v>15</v>
      </c>
      <c r="F58" s="4">
        <v>0</v>
      </c>
      <c r="G58" s="4">
        <f t="shared" ref="G58:G66" si="23">H58-C58</f>
        <v>75</v>
      </c>
      <c r="H58" s="4">
        <f t="shared" ref="H58:H66" si="24">I58*30</f>
        <v>120</v>
      </c>
      <c r="I58" s="4">
        <v>4</v>
      </c>
      <c r="J58" s="4" t="s">
        <v>12</v>
      </c>
      <c r="K58" s="73">
        <f t="shared" si="13"/>
        <v>75</v>
      </c>
      <c r="L58" s="73">
        <f t="shared" si="14"/>
        <v>60</v>
      </c>
      <c r="M58" s="73">
        <f t="shared" si="15"/>
        <v>15</v>
      </c>
      <c r="N58" s="7" t="str">
        <f>IF(O58=""," ",VLOOKUP(O58,'[8]2012 личен състав ОТД'!$A:$AO,2,FALSE))</f>
        <v>проф. д-р Пеньо Пенев</v>
      </c>
      <c r="O58" s="3" t="s">
        <v>483</v>
      </c>
      <c r="P58" s="7">
        <f>IF(O58=""," ",VLOOKUP(O58,'[8]2012 личен състав ОТД'!$A:$AO,13,FALSE))</f>
        <v>1946</v>
      </c>
      <c r="Q58" s="3" t="str">
        <f>IF(O58=""," ",VLOOKUP(O58,'[8]2012 личен състав ОТД'!$A:$AO,12,FALSE))</f>
        <v>ОТД</v>
      </c>
      <c r="R58" s="57" t="str">
        <f>IF(A58=""," ",VLOOKUP(A58,'Профилиращ лист'!A:B,2,FALSE))</f>
        <v>ОФД</v>
      </c>
      <c r="S58" s="57"/>
      <c r="T58" s="57">
        <f t="shared" ca="1" si="16"/>
        <v>67</v>
      </c>
      <c r="U58" s="57"/>
    </row>
    <row r="59" spans="1:21" x14ac:dyDescent="0.25">
      <c r="A59" s="8" t="s">
        <v>52</v>
      </c>
      <c r="B59" s="8">
        <v>90</v>
      </c>
      <c r="C59" s="4">
        <v>105</v>
      </c>
      <c r="D59" s="4">
        <v>0</v>
      </c>
      <c r="E59" s="4">
        <v>0</v>
      </c>
      <c r="F59" s="4">
        <v>105</v>
      </c>
      <c r="G59" s="4">
        <f t="shared" si="23"/>
        <v>105</v>
      </c>
      <c r="H59" s="4">
        <f t="shared" si="24"/>
        <v>210</v>
      </c>
      <c r="I59" s="4">
        <v>7</v>
      </c>
      <c r="J59" s="4" t="s">
        <v>12</v>
      </c>
      <c r="K59" s="73">
        <f t="shared" si="13"/>
        <v>105</v>
      </c>
      <c r="L59" s="73">
        <f t="shared" si="14"/>
        <v>0</v>
      </c>
      <c r="M59" s="73">
        <f t="shared" si="15"/>
        <v>105</v>
      </c>
      <c r="N59" s="7" t="str">
        <f>IF(O59=""," ",VLOOKUP(O59,'[8]2012 личен състав ОТД'!$A:$AO,2,FALSE))</f>
        <v xml:space="preserve"> </v>
      </c>
      <c r="O59" s="3"/>
      <c r="P59" s="7" t="str">
        <f>IF(O59=""," ",VLOOKUP(O59,'[8]2012 личен състав ОТД'!$A:$AO,13,FALSE))</f>
        <v xml:space="preserve"> </v>
      </c>
      <c r="Q59" s="3" t="str">
        <f>IF(O59=""," ",VLOOKUP(O59,'[8]2012 личен състав ОТД'!$A:$AO,12,FALSE))</f>
        <v xml:space="preserve"> </v>
      </c>
      <c r="R59" s="57" t="str">
        <f>IF(A59=""," ",VLOOKUP(A59,'Профилиращ лист'!A:B,2,FALSE))</f>
        <v>ПРА</v>
      </c>
      <c r="S59" s="57"/>
      <c r="T59" s="57" t="e">
        <f t="shared" ca="1" si="16"/>
        <v>#VALUE!</v>
      </c>
      <c r="U59" s="57"/>
    </row>
    <row r="60" spans="1:21" x14ac:dyDescent="0.25">
      <c r="A60" s="8" t="s">
        <v>50</v>
      </c>
      <c r="B60" s="8">
        <v>30</v>
      </c>
      <c r="C60" s="4">
        <v>30</v>
      </c>
      <c r="D60" s="4">
        <v>15</v>
      </c>
      <c r="E60" s="4">
        <v>15</v>
      </c>
      <c r="F60" s="4">
        <v>0</v>
      </c>
      <c r="G60" s="4">
        <f t="shared" si="23"/>
        <v>30</v>
      </c>
      <c r="H60" s="4">
        <f t="shared" si="24"/>
        <v>60</v>
      </c>
      <c r="I60" s="4">
        <v>2</v>
      </c>
      <c r="J60" s="4" t="s">
        <v>12</v>
      </c>
      <c r="K60" s="73">
        <f t="shared" si="13"/>
        <v>60</v>
      </c>
      <c r="L60" s="73">
        <f t="shared" si="14"/>
        <v>30</v>
      </c>
      <c r="M60" s="73">
        <f t="shared" si="15"/>
        <v>30</v>
      </c>
      <c r="N60" s="7" t="str">
        <f>IF(O60=""," ",VLOOKUP(O60,'[8]2012 личен състав ОТД'!$A:$AO,2,FALSE))</f>
        <v>гл. ас. д-р Атанас Манчоров</v>
      </c>
      <c r="O60" s="3" t="s">
        <v>489</v>
      </c>
      <c r="P60" s="7">
        <f>IF(O60=""," ",VLOOKUP(O60,'[8]2012 личен състав ОТД'!$A:$AO,13,FALSE))</f>
        <v>1966</v>
      </c>
      <c r="Q60" s="3" t="str">
        <f>IF(O60=""," ",VLOOKUP(O60,'[8]2012 личен състав ОТД'!$A:$AO,12,FALSE))</f>
        <v>ОТД</v>
      </c>
      <c r="R60" s="57" t="str">
        <f>IF(A60=""," ",VLOOKUP(A60,'Профилиращ лист'!A:B,2,FALSE))</f>
        <v>СПЕ</v>
      </c>
      <c r="S60" s="57"/>
      <c r="T60" s="57">
        <f t="shared" ca="1" si="16"/>
        <v>47</v>
      </c>
      <c r="U60" s="57"/>
    </row>
    <row r="61" spans="1:21" ht="14.1" customHeight="1" x14ac:dyDescent="0.25">
      <c r="A61" s="8" t="s">
        <v>53</v>
      </c>
      <c r="B61" s="8">
        <v>30</v>
      </c>
      <c r="C61" s="4">
        <v>30</v>
      </c>
      <c r="D61" s="4">
        <v>15</v>
      </c>
      <c r="E61" s="4">
        <v>15</v>
      </c>
      <c r="F61" s="4">
        <v>0</v>
      </c>
      <c r="G61" s="4">
        <f t="shared" si="23"/>
        <v>30</v>
      </c>
      <c r="H61" s="4">
        <f t="shared" si="24"/>
        <v>60</v>
      </c>
      <c r="I61" s="4">
        <v>2</v>
      </c>
      <c r="J61" s="4" t="s">
        <v>14</v>
      </c>
      <c r="K61" s="73">
        <f t="shared" si="13"/>
        <v>60</v>
      </c>
      <c r="L61" s="73">
        <f t="shared" si="14"/>
        <v>30</v>
      </c>
      <c r="M61" s="73">
        <f t="shared" si="15"/>
        <v>30</v>
      </c>
      <c r="N61" s="7" t="str">
        <f>IF(O61=""," ",VLOOKUP(O61,'[8]2012 личен състав ОТД'!$A:$AO,2,FALSE))</f>
        <v xml:space="preserve"> </v>
      </c>
      <c r="O61" s="3"/>
      <c r="P61" s="7" t="str">
        <f>IF(O61=""," ",VLOOKUP(O61,'[8]2012 личен състав ОТД'!$A:$AO,13,FALSE))</f>
        <v xml:space="preserve"> </v>
      </c>
      <c r="Q61" s="3" t="str">
        <f>IF(O61=""," ",VLOOKUP(O61,'[8]2012 личен състав ОТД'!$A:$AO,12,FALSE))</f>
        <v xml:space="preserve"> </v>
      </c>
      <c r="R61" s="57" t="str">
        <f>IF(A61=""," ",VLOOKUP(A61,'Профилиращ лист'!A:B,2,FALSE))</f>
        <v>СПЕ</v>
      </c>
      <c r="S61" s="57"/>
      <c r="T61" s="57" t="e">
        <f t="shared" ca="1" si="16"/>
        <v>#VALUE!</v>
      </c>
      <c r="U61" s="57"/>
    </row>
    <row r="62" spans="1:21" ht="14.1" customHeight="1" x14ac:dyDescent="0.25">
      <c r="A62" s="8" t="s">
        <v>54</v>
      </c>
      <c r="B62" s="4">
        <v>30</v>
      </c>
      <c r="C62" s="4">
        <v>30</v>
      </c>
      <c r="D62" s="4">
        <v>30</v>
      </c>
      <c r="E62" s="4">
        <v>0</v>
      </c>
      <c r="F62" s="4">
        <v>0</v>
      </c>
      <c r="G62" s="4">
        <f t="shared" si="23"/>
        <v>30</v>
      </c>
      <c r="H62" s="4">
        <f t="shared" si="24"/>
        <v>60</v>
      </c>
      <c r="I62" s="4">
        <v>2</v>
      </c>
      <c r="J62" s="4" t="s">
        <v>14</v>
      </c>
      <c r="K62" s="73">
        <f t="shared" si="13"/>
        <v>75</v>
      </c>
      <c r="L62" s="73">
        <f t="shared" si="14"/>
        <v>45</v>
      </c>
      <c r="M62" s="73">
        <f t="shared" si="15"/>
        <v>30</v>
      </c>
      <c r="N62" s="7" t="str">
        <f>IF(O62=""," ",VLOOKUP(O62,'[8]2012 личен състав ОТД'!$A:$AO,2,FALSE))</f>
        <v xml:space="preserve"> </v>
      </c>
      <c r="O62" s="3"/>
      <c r="P62" s="7" t="str">
        <f>IF(O62=""," ",VLOOKUP(O62,'[8]2012 личен състав ОТД'!$A:$AO,13,FALSE))</f>
        <v xml:space="preserve"> </v>
      </c>
      <c r="Q62" s="3" t="str">
        <f>IF(O62=""," ",VLOOKUP(O62,'[8]2012 личен състав ОТД'!$A:$AO,12,FALSE))</f>
        <v xml:space="preserve"> </v>
      </c>
      <c r="R62" s="57" t="str">
        <f>IF(A62=""," ",VLOOKUP(A62,'Профилиращ лист'!A:B,2,FALSE))</f>
        <v>СПЕ</v>
      </c>
      <c r="S62" s="57"/>
      <c r="T62" s="57" t="e">
        <f t="shared" ca="1" si="16"/>
        <v>#VALUE!</v>
      </c>
      <c r="U62" s="57"/>
    </row>
    <row r="63" spans="1:21" ht="14.1" customHeight="1" x14ac:dyDescent="0.25">
      <c r="A63" s="8" t="s">
        <v>55</v>
      </c>
      <c r="B63" s="4">
        <v>30</v>
      </c>
      <c r="C63" s="4">
        <v>30</v>
      </c>
      <c r="D63" s="4">
        <v>0</v>
      </c>
      <c r="E63" s="4">
        <v>0</v>
      </c>
      <c r="F63" s="4">
        <v>30</v>
      </c>
      <c r="G63" s="4">
        <f t="shared" si="23"/>
        <v>30</v>
      </c>
      <c r="H63" s="4">
        <f t="shared" si="24"/>
        <v>60</v>
      </c>
      <c r="I63" s="4">
        <v>2</v>
      </c>
      <c r="J63" s="4" t="s">
        <v>18</v>
      </c>
      <c r="K63" s="73">
        <f t="shared" si="13"/>
        <v>30</v>
      </c>
      <c r="L63" s="73">
        <f t="shared" si="14"/>
        <v>0</v>
      </c>
      <c r="M63" s="73">
        <f t="shared" si="15"/>
        <v>30</v>
      </c>
      <c r="N63" s="7" t="str">
        <f>IF(O63=""," ",VLOOKUP(O63,'[8]2012 личен състав ОТД'!$A:$AO,2,FALSE))</f>
        <v xml:space="preserve"> </v>
      </c>
      <c r="O63" s="3"/>
      <c r="P63" s="7" t="str">
        <f>IF(O63=""," ",VLOOKUP(O63,'[8]2012 личен състав ОТД'!$A:$AO,13,FALSE))</f>
        <v xml:space="preserve"> </v>
      </c>
      <c r="Q63" s="3" t="str">
        <f>IF(O63=""," ",VLOOKUP(O63,'[8]2012 личен състав ОТД'!$A:$AO,12,FALSE))</f>
        <v xml:space="preserve"> </v>
      </c>
      <c r="R63" s="57" t="str">
        <f>IF(A63=""," ",VLOOKUP(A63,'Профилиращ лист'!A:B,2,FALSE))</f>
        <v>ФД</v>
      </c>
      <c r="S63" s="57"/>
      <c r="T63" s="57" t="e">
        <f t="shared" ca="1" si="16"/>
        <v>#VALUE!</v>
      </c>
      <c r="U63" s="57"/>
    </row>
    <row r="64" spans="1:21" x14ac:dyDescent="0.25">
      <c r="A64" s="8" t="s">
        <v>56</v>
      </c>
      <c r="B64" s="8">
        <v>15</v>
      </c>
      <c r="C64" s="8">
        <v>15</v>
      </c>
      <c r="D64" s="4">
        <v>0</v>
      </c>
      <c r="E64" s="4">
        <v>0</v>
      </c>
      <c r="F64" s="4">
        <v>15</v>
      </c>
      <c r="G64" s="4">
        <f t="shared" si="23"/>
        <v>45</v>
      </c>
      <c r="H64" s="4">
        <f t="shared" si="24"/>
        <v>60</v>
      </c>
      <c r="I64" s="4">
        <v>2</v>
      </c>
      <c r="J64" s="4" t="s">
        <v>18</v>
      </c>
      <c r="K64" s="73">
        <f t="shared" si="13"/>
        <v>15</v>
      </c>
      <c r="L64" s="73">
        <f t="shared" si="14"/>
        <v>0</v>
      </c>
      <c r="M64" s="73">
        <f t="shared" si="15"/>
        <v>15</v>
      </c>
      <c r="N64" s="7" t="str">
        <f>IF(O64=""," ",VLOOKUP(O64,'[8]2012 личен състав ОТД'!$A:$AO,2,FALSE))</f>
        <v xml:space="preserve"> </v>
      </c>
      <c r="O64" s="3"/>
      <c r="P64" s="7" t="str">
        <f>IF(O64=""," ",VLOOKUP(O64,'[8]2012 личен състав ОТД'!$A:$AO,13,FALSE))</f>
        <v xml:space="preserve"> </v>
      </c>
      <c r="Q64" s="3" t="str">
        <f>IF(O64=""," ",VLOOKUP(O64,'[8]2012 личен състав ОТД'!$A:$AO,12,FALSE))</f>
        <v xml:space="preserve"> </v>
      </c>
      <c r="R64" s="57" t="str">
        <f>IF(A64=""," ",VLOOKUP(A64,'Профилиращ лист'!A:B,2,FALSE))</f>
        <v>ПЕД</v>
      </c>
      <c r="S64" s="57"/>
      <c r="T64" s="57" t="e">
        <f t="shared" ca="1" si="16"/>
        <v>#VALUE!</v>
      </c>
      <c r="U64" s="57"/>
    </row>
    <row r="65" spans="1:21" x14ac:dyDescent="0.25">
      <c r="A65" s="8" t="s">
        <v>57</v>
      </c>
      <c r="B65" s="4">
        <v>15</v>
      </c>
      <c r="C65" s="4">
        <v>30</v>
      </c>
      <c r="D65" s="4">
        <v>0</v>
      </c>
      <c r="E65" s="4">
        <v>0</v>
      </c>
      <c r="F65" s="4">
        <v>30</v>
      </c>
      <c r="G65" s="4">
        <f t="shared" si="23"/>
        <v>30</v>
      </c>
      <c r="H65" s="4">
        <f t="shared" si="24"/>
        <v>60</v>
      </c>
      <c r="I65" s="4">
        <v>2</v>
      </c>
      <c r="J65" s="4" t="s">
        <v>18</v>
      </c>
      <c r="K65" s="73">
        <f t="shared" si="13"/>
        <v>30</v>
      </c>
      <c r="L65" s="73">
        <f t="shared" si="14"/>
        <v>0</v>
      </c>
      <c r="M65" s="73">
        <f t="shared" si="15"/>
        <v>30</v>
      </c>
      <c r="N65" s="7" t="str">
        <f>IF(O65=""," ",VLOOKUP(O65,'[8]2012 личен състав ОТД'!$A:$AO,2,FALSE))</f>
        <v xml:space="preserve"> </v>
      </c>
      <c r="O65" s="3"/>
      <c r="P65" s="7" t="str">
        <f>IF(O65=""," ",VLOOKUP(O65,'[8]2012 личен състав ОТД'!$A:$AO,13,FALSE))</f>
        <v xml:space="preserve"> </v>
      </c>
      <c r="Q65" s="3" t="str">
        <f>IF(O65=""," ",VLOOKUP(O65,'[8]2012 личен състав ОТД'!$A:$AO,12,FALSE))</f>
        <v xml:space="preserve"> </v>
      </c>
      <c r="R65" s="57" t="str">
        <f>IF(A65=""," ",VLOOKUP(A65,'Профилиращ лист'!A:B,2,FALSE))</f>
        <v>ПЕД</v>
      </c>
      <c r="S65" s="57"/>
      <c r="T65" s="57" t="e">
        <f t="shared" ca="1" si="16"/>
        <v>#VALUE!</v>
      </c>
      <c r="U65" s="57"/>
    </row>
    <row r="66" spans="1:21" x14ac:dyDescent="0.25">
      <c r="A66" s="8" t="s">
        <v>58</v>
      </c>
      <c r="B66" s="4">
        <v>30</v>
      </c>
      <c r="C66" s="4">
        <v>15</v>
      </c>
      <c r="D66" s="4">
        <v>15</v>
      </c>
      <c r="E66" s="4">
        <v>0</v>
      </c>
      <c r="F66" s="4">
        <v>0</v>
      </c>
      <c r="G66" s="4">
        <f t="shared" si="23"/>
        <v>75</v>
      </c>
      <c r="H66" s="4">
        <f t="shared" si="24"/>
        <v>90</v>
      </c>
      <c r="I66" s="4">
        <v>3</v>
      </c>
      <c r="J66" s="4" t="s">
        <v>12</v>
      </c>
      <c r="K66" s="73">
        <f t="shared" si="13"/>
        <v>15</v>
      </c>
      <c r="L66" s="73">
        <f t="shared" si="14"/>
        <v>15</v>
      </c>
      <c r="M66" s="73">
        <f t="shared" si="15"/>
        <v>0</v>
      </c>
      <c r="N66" s="7" t="str">
        <f>IF(O66=""," ",VLOOKUP(O66,'[8]2012 личен състав ОТД'!$A:$AO,2,FALSE))</f>
        <v>доц. д-р Дейвид Дженкинс</v>
      </c>
      <c r="O66" s="3" t="s">
        <v>481</v>
      </c>
      <c r="P66" s="7">
        <f>IF(O66=""," ",VLOOKUP(O66,'[8]2012 личен състав ОТД'!$A:$AO,13,FALSE))</f>
        <v>1947</v>
      </c>
      <c r="Q66" s="3" t="str">
        <f>IF(O66=""," ",VLOOKUP(O66,'[8]2012 личен състав ОТД'!$A:$AO,12,FALSE))</f>
        <v>ОТД</v>
      </c>
      <c r="R66" s="57" t="str">
        <f>IF(A66=""," ",VLOOKUP(A66,'Профилиращ лист'!A:B,2,FALSE))</f>
        <v>ИЗБ</v>
      </c>
      <c r="S66" s="57"/>
      <c r="T66" s="57">
        <f t="shared" ca="1" si="16"/>
        <v>66</v>
      </c>
      <c r="U66" s="57"/>
    </row>
    <row r="67" spans="1:21" x14ac:dyDescent="0.25">
      <c r="B67" s="9">
        <f>SUM(B57:B65)</f>
        <v>330</v>
      </c>
      <c r="C67" s="9">
        <f>SUM(C57:C66)</f>
        <v>390</v>
      </c>
      <c r="D67" s="9">
        <f t="shared" ref="D67:I67" si="25">SUM(D57:D66)</f>
        <v>135</v>
      </c>
      <c r="E67" s="9">
        <f t="shared" si="25"/>
        <v>75</v>
      </c>
      <c r="F67" s="9">
        <f t="shared" si="25"/>
        <v>180</v>
      </c>
      <c r="G67" s="9">
        <f t="shared" si="25"/>
        <v>510</v>
      </c>
      <c r="H67" s="9">
        <f t="shared" si="25"/>
        <v>900</v>
      </c>
      <c r="I67" s="9">
        <f t="shared" si="25"/>
        <v>30</v>
      </c>
      <c r="J67" s="6"/>
      <c r="K67" s="73">
        <f t="shared" ref="K67:K98" si="26">SUMIF(A:A,A67,C:C)</f>
        <v>0</v>
      </c>
      <c r="L67" s="73">
        <f t="shared" ref="L67:L98" si="27">SUMIF(A:A,A67,D:D)</f>
        <v>0</v>
      </c>
      <c r="M67" s="73">
        <f t="shared" ref="M67:M98" si="28">SUMIF(A:A,A67,E:E)+SUMIF(A:A,A67,F:F)</f>
        <v>0</v>
      </c>
      <c r="N67" s="7" t="str">
        <f>IF(O67=""," ",VLOOKUP(O67,'[8]2012 личен състав ОТД'!$A:$AO,2,FALSE))</f>
        <v xml:space="preserve"> </v>
      </c>
      <c r="O67" s="3"/>
      <c r="P67" s="7" t="str">
        <f>IF(O67=""," ",VLOOKUP(O67,'[8]2012 личен състав ОТД'!$A:$AO,13,FALSE))</f>
        <v xml:space="preserve"> </v>
      </c>
      <c r="Q67" s="3" t="str">
        <f>IF(O67=""," ",VLOOKUP(O67,'[8]2012 личен състав ОТД'!$A:$AO,12,FALSE))</f>
        <v xml:space="preserve"> </v>
      </c>
      <c r="R67" s="57" t="str">
        <f>IF(A67=""," ",VLOOKUP(A67,'Профилиращ лист'!A:B,2,FALSE))</f>
        <v xml:space="preserve"> </v>
      </c>
      <c r="S67" s="57"/>
      <c r="T67" s="57" t="e">
        <f t="shared" ref="T67:T95" ca="1" si="29">Години-P67</f>
        <v>#VALUE!</v>
      </c>
      <c r="U67" s="57"/>
    </row>
    <row r="68" spans="1:21" x14ac:dyDescent="0.25">
      <c r="A68" s="1" t="s">
        <v>59</v>
      </c>
      <c r="B68" s="1"/>
      <c r="J68" s="6"/>
      <c r="K68" s="73">
        <f t="shared" si="26"/>
        <v>0</v>
      </c>
      <c r="L68" s="73">
        <f t="shared" si="27"/>
        <v>0</v>
      </c>
      <c r="M68" s="73">
        <f t="shared" si="28"/>
        <v>0</v>
      </c>
      <c r="N68" s="7" t="str">
        <f>IF(O68=""," ",VLOOKUP(O68,'[8]2012 личен състав ОТД'!$A:$AO,2,FALSE))</f>
        <v xml:space="preserve"> </v>
      </c>
      <c r="O68" s="3"/>
      <c r="P68" s="7" t="str">
        <f>IF(O68=""," ",VLOOKUP(O68,'[8]2012 личен състав ОТД'!$A:$AO,13,FALSE))</f>
        <v xml:space="preserve"> </v>
      </c>
      <c r="Q68" s="3" t="str">
        <f>IF(O68=""," ",VLOOKUP(O68,'[8]2012 личен състав ОТД'!$A:$AO,12,FALSE))</f>
        <v xml:space="preserve"> </v>
      </c>
      <c r="R68" s="57" t="e">
        <f>IF(A68=""," ",VLOOKUP(A68,'Профилиращ лист'!A:B,2,FALSE))</f>
        <v>#N/A</v>
      </c>
      <c r="S68" s="57"/>
      <c r="T68" s="57" t="e">
        <f t="shared" ca="1" si="29"/>
        <v>#VALUE!</v>
      </c>
      <c r="U68" s="57"/>
    </row>
    <row r="69" spans="1:21" ht="12.95" customHeight="1" x14ac:dyDescent="0.25">
      <c r="A69" s="8" t="s">
        <v>60</v>
      </c>
      <c r="B69" s="8">
        <v>15</v>
      </c>
      <c r="C69" s="4">
        <v>30</v>
      </c>
      <c r="D69" s="4">
        <v>30</v>
      </c>
      <c r="E69" s="4">
        <v>0</v>
      </c>
      <c r="F69" s="4">
        <v>0</v>
      </c>
      <c r="G69" s="4">
        <f>H69-C69</f>
        <v>60</v>
      </c>
      <c r="H69" s="4">
        <f>I69*30</f>
        <v>90</v>
      </c>
      <c r="I69" s="4">
        <v>3</v>
      </c>
      <c r="J69" s="4" t="s">
        <v>12</v>
      </c>
      <c r="K69" s="73">
        <f t="shared" si="26"/>
        <v>30</v>
      </c>
      <c r="L69" s="73">
        <f t="shared" si="27"/>
        <v>30</v>
      </c>
      <c r="M69" s="73">
        <f t="shared" si="28"/>
        <v>0</v>
      </c>
      <c r="N69" s="7" t="str">
        <f>IF(O69=""," ",VLOOKUP(O69,'[8]2012 личен състав ОТД'!$A:$AO,2,FALSE))</f>
        <v>доц. д-р Дейвид Дженкинс</v>
      </c>
      <c r="O69" s="3" t="s">
        <v>481</v>
      </c>
      <c r="P69" s="7">
        <f>IF(O69=""," ",VLOOKUP(O69,'[8]2012 личен състав ОТД'!$A:$AO,13,FALSE))</f>
        <v>1947</v>
      </c>
      <c r="Q69" s="3" t="str">
        <f>IF(O69=""," ",VLOOKUP(O69,'[8]2012 личен състав ОТД'!$A:$AO,12,FALSE))</f>
        <v>ОТД</v>
      </c>
      <c r="R69" s="57" t="str">
        <f>IF(A69=""," ",VLOOKUP(A69,'Профилиращ лист'!A:B,2,FALSE))</f>
        <v>СПЕ</v>
      </c>
      <c r="S69" s="57"/>
      <c r="T69" s="57">
        <f t="shared" ca="1" si="29"/>
        <v>66</v>
      </c>
      <c r="U69" s="57"/>
    </row>
    <row r="70" spans="1:21" x14ac:dyDescent="0.25">
      <c r="A70" s="8" t="s">
        <v>61</v>
      </c>
      <c r="B70" s="8">
        <v>30</v>
      </c>
      <c r="C70" s="4">
        <v>30</v>
      </c>
      <c r="D70" s="4">
        <v>15</v>
      </c>
      <c r="E70" s="4">
        <v>15</v>
      </c>
      <c r="F70" s="4">
        <v>0</v>
      </c>
      <c r="G70" s="4">
        <f t="shared" ref="G70:G79" si="30">H70-C70</f>
        <v>30</v>
      </c>
      <c r="H70" s="4">
        <f t="shared" ref="H70:H79" si="31">I70*30</f>
        <v>60</v>
      </c>
      <c r="I70" s="4">
        <v>2</v>
      </c>
      <c r="J70" s="4" t="s">
        <v>12</v>
      </c>
      <c r="K70" s="73">
        <f t="shared" si="26"/>
        <v>30</v>
      </c>
      <c r="L70" s="73">
        <f t="shared" si="27"/>
        <v>15</v>
      </c>
      <c r="M70" s="73">
        <f t="shared" si="28"/>
        <v>15</v>
      </c>
      <c r="N70" s="7" t="str">
        <f>IF(O70=""," ",VLOOKUP(O70,'[8]2012 личен състав ОТД'!$A:$AO,2,FALSE))</f>
        <v>гл. ас. д-р Витана Костадинова</v>
      </c>
      <c r="O70" s="3" t="s">
        <v>493</v>
      </c>
      <c r="P70" s="7">
        <f>IF(O70=""," ",VLOOKUP(O70,'[8]2012 личен състав ОТД'!$A:$AO,13,FALSE))</f>
        <v>1970</v>
      </c>
      <c r="Q70" s="3" t="str">
        <f>IF(O70=""," ",VLOOKUP(O70,'[8]2012 личен състав ОТД'!$A:$AO,12,FALSE))</f>
        <v>ОТД</v>
      </c>
      <c r="R70" s="57" t="str">
        <f>IF(A70=""," ",VLOOKUP(A70,'Профилиращ лист'!A:B,2,FALSE))</f>
        <v>СПЕ</v>
      </c>
      <c r="S70" s="57"/>
      <c r="T70" s="57">
        <f t="shared" ca="1" si="29"/>
        <v>43</v>
      </c>
      <c r="U70" s="57"/>
    </row>
    <row r="71" spans="1:21" ht="12.95" customHeight="1" x14ac:dyDescent="0.25">
      <c r="A71" s="8" t="s">
        <v>62</v>
      </c>
      <c r="B71" s="4">
        <v>45</v>
      </c>
      <c r="C71" s="4">
        <v>45</v>
      </c>
      <c r="D71" s="4">
        <v>45</v>
      </c>
      <c r="E71" s="4">
        <v>0</v>
      </c>
      <c r="F71" s="4">
        <v>0</v>
      </c>
      <c r="G71" s="4">
        <f t="shared" si="30"/>
        <v>45</v>
      </c>
      <c r="H71" s="4">
        <f t="shared" si="31"/>
        <v>90</v>
      </c>
      <c r="I71" s="4">
        <v>3</v>
      </c>
      <c r="J71" s="4" t="s">
        <v>14</v>
      </c>
      <c r="K71" s="73">
        <f t="shared" si="26"/>
        <v>90</v>
      </c>
      <c r="L71" s="73">
        <f t="shared" si="27"/>
        <v>75</v>
      </c>
      <c r="M71" s="73">
        <f t="shared" si="28"/>
        <v>15</v>
      </c>
      <c r="N71" s="7" t="str">
        <f>IF(O71=""," ",VLOOKUP(O71,'[8]2012 личен състав ОТД'!$A:$AO,2,FALSE))</f>
        <v xml:space="preserve"> </v>
      </c>
      <c r="O71" s="3"/>
      <c r="P71" s="7" t="str">
        <f>IF(O71=""," ",VLOOKUP(O71,'[8]2012 личен състав ОТД'!$A:$AO,13,FALSE))</f>
        <v xml:space="preserve"> </v>
      </c>
      <c r="Q71" s="3" t="str">
        <f>IF(O71=""," ",VLOOKUP(O71,'[8]2012 личен състав ОТД'!$A:$AO,12,FALSE))</f>
        <v xml:space="preserve"> </v>
      </c>
      <c r="R71" s="57" t="str">
        <f>IF(A71=""," ",VLOOKUP(A71,'Профилиращ лист'!A:B,2,FALSE))</f>
        <v>СПЕ</v>
      </c>
      <c r="S71" s="57"/>
      <c r="T71" s="57" t="e">
        <f t="shared" ca="1" si="29"/>
        <v>#VALUE!</v>
      </c>
      <c r="U71" s="57"/>
    </row>
    <row r="72" spans="1:21" x14ac:dyDescent="0.25">
      <c r="A72" s="8" t="s">
        <v>63</v>
      </c>
      <c r="B72" s="8">
        <v>30</v>
      </c>
      <c r="C72" s="4">
        <v>30</v>
      </c>
      <c r="D72" s="4">
        <v>15</v>
      </c>
      <c r="E72" s="4">
        <v>15</v>
      </c>
      <c r="F72" s="4">
        <v>0</v>
      </c>
      <c r="G72" s="4">
        <f t="shared" si="30"/>
        <v>60</v>
      </c>
      <c r="H72" s="4">
        <f t="shared" si="31"/>
        <v>90</v>
      </c>
      <c r="I72" s="4">
        <v>3</v>
      </c>
      <c r="J72" s="6" t="s">
        <v>12</v>
      </c>
      <c r="K72" s="73">
        <f t="shared" si="26"/>
        <v>30</v>
      </c>
      <c r="L72" s="73">
        <f t="shared" si="27"/>
        <v>15</v>
      </c>
      <c r="M72" s="73">
        <f t="shared" si="28"/>
        <v>15</v>
      </c>
      <c r="N72" s="7" t="str">
        <f>IF(O72=""," ",VLOOKUP(O72,'[8]2012 личен състав ОТД'!$A:$AO,2,FALSE))</f>
        <v>гл. ас. д-р Марина Самалиева</v>
      </c>
      <c r="O72" s="3" t="s">
        <v>494</v>
      </c>
      <c r="P72" s="7">
        <f>IF(O72=""," ",VLOOKUP(O72,'[8]2012 личен състав ОТД'!$A:$AO,13,FALSE))</f>
        <v>1960</v>
      </c>
      <c r="Q72" s="3" t="str">
        <f>IF(O72=""," ",VLOOKUP(O72,'[8]2012 личен състав ОТД'!$A:$AO,12,FALSE))</f>
        <v>ОТД</v>
      </c>
      <c r="R72" s="57" t="str">
        <f>IF(A72=""," ",VLOOKUP(A72,'Профилиращ лист'!A:B,2,FALSE))</f>
        <v>ПЕД</v>
      </c>
      <c r="S72" s="57"/>
      <c r="T72" s="57">
        <f t="shared" ca="1" si="29"/>
        <v>53</v>
      </c>
      <c r="U72" s="57"/>
    </row>
    <row r="73" spans="1:21" x14ac:dyDescent="0.25">
      <c r="A73" s="8" t="s">
        <v>64</v>
      </c>
      <c r="B73" s="4">
        <v>15</v>
      </c>
      <c r="C73" s="4">
        <v>15</v>
      </c>
      <c r="D73" s="4">
        <v>15</v>
      </c>
      <c r="E73" s="4">
        <v>0</v>
      </c>
      <c r="F73" s="4">
        <v>0</v>
      </c>
      <c r="G73" s="4">
        <f t="shared" si="30"/>
        <v>75</v>
      </c>
      <c r="H73" s="4">
        <f t="shared" si="31"/>
        <v>90</v>
      </c>
      <c r="I73" s="4">
        <v>3</v>
      </c>
      <c r="J73" s="4" t="s">
        <v>12</v>
      </c>
      <c r="K73" s="73">
        <f t="shared" si="26"/>
        <v>15</v>
      </c>
      <c r="L73" s="73">
        <f t="shared" si="27"/>
        <v>15</v>
      </c>
      <c r="M73" s="73">
        <f t="shared" si="28"/>
        <v>0</v>
      </c>
      <c r="N73" s="7" t="str">
        <f>IF(O73=""," ",VLOOKUP(O73,'[8]2012 личен състав ОТД'!$A:$AO,2,FALSE))</f>
        <v>гл. ас. д-р Марина Самалиева</v>
      </c>
      <c r="O73" s="3" t="s">
        <v>494</v>
      </c>
      <c r="P73" s="7">
        <f>IF(O73=""," ",VLOOKUP(O73,'[8]2012 личен състав ОТД'!$A:$AO,13,FALSE))</f>
        <v>1960</v>
      </c>
      <c r="Q73" s="3" t="str">
        <f>IF(O73=""," ",VLOOKUP(O73,'[8]2012 личен състав ОТД'!$A:$AO,12,FALSE))</f>
        <v>ОТД</v>
      </c>
      <c r="R73" s="57" t="str">
        <f>IF(A73=""," ",VLOOKUP(A73,'Профилиращ лист'!A:B,2,FALSE))</f>
        <v>ПЕД</v>
      </c>
      <c r="S73" s="57"/>
      <c r="T73" s="57">
        <f t="shared" ca="1" si="29"/>
        <v>53</v>
      </c>
      <c r="U73" s="57"/>
    </row>
    <row r="74" spans="1:21" x14ac:dyDescent="0.25">
      <c r="A74" s="8" t="s">
        <v>65</v>
      </c>
      <c r="B74" s="4">
        <v>15</v>
      </c>
      <c r="C74" s="4">
        <v>15</v>
      </c>
      <c r="D74" s="4">
        <v>15</v>
      </c>
      <c r="E74" s="4">
        <v>0</v>
      </c>
      <c r="F74" s="4">
        <v>0</v>
      </c>
      <c r="G74" s="4">
        <f t="shared" si="30"/>
        <v>75</v>
      </c>
      <c r="H74" s="4">
        <f t="shared" si="31"/>
        <v>90</v>
      </c>
      <c r="I74" s="4">
        <v>3</v>
      </c>
      <c r="J74" s="4" t="s">
        <v>12</v>
      </c>
      <c r="K74" s="73">
        <f t="shared" si="26"/>
        <v>15</v>
      </c>
      <c r="L74" s="73">
        <f t="shared" si="27"/>
        <v>15</v>
      </c>
      <c r="M74" s="73">
        <f t="shared" si="28"/>
        <v>0</v>
      </c>
      <c r="N74" s="7" t="str">
        <f>IF(O74=""," ",VLOOKUP(O74,'[8]2012 личен състав ОТД'!$A:$AO,2,FALSE))</f>
        <v>доц. д-р Пенка Гарушева-Карамалакова</v>
      </c>
      <c r="O74" s="3" t="s">
        <v>478</v>
      </c>
      <c r="P74" s="7">
        <f>IF(O74=""," ",VLOOKUP(O74,'[8]2012 личен състав ОТД'!$A:$AO,13,FALSE))</f>
        <v>1947</v>
      </c>
      <c r="Q74" s="3" t="str">
        <f>IF(O74=""," ",VLOOKUP(O74,'[8]2012 личен състав ОТД'!$A:$AO,12,FALSE))</f>
        <v>ОТД</v>
      </c>
      <c r="R74" s="57" t="str">
        <f>IF(A74=""," ",VLOOKUP(A74,'Профилиращ лист'!A:B,2,FALSE))</f>
        <v>ПЕД</v>
      </c>
      <c r="S74" s="57"/>
      <c r="T74" s="57">
        <f t="shared" ca="1" si="29"/>
        <v>66</v>
      </c>
      <c r="U74" s="57"/>
    </row>
    <row r="75" spans="1:21" ht="12.95" customHeight="1" x14ac:dyDescent="0.25">
      <c r="A75" s="8" t="s">
        <v>15</v>
      </c>
      <c r="B75" s="8">
        <v>90</v>
      </c>
      <c r="C75" s="4">
        <v>75</v>
      </c>
      <c r="D75" s="4">
        <v>0</v>
      </c>
      <c r="E75" s="4">
        <v>0</v>
      </c>
      <c r="F75" s="4">
        <v>75</v>
      </c>
      <c r="G75" s="4">
        <f t="shared" si="30"/>
        <v>75</v>
      </c>
      <c r="H75" s="4">
        <f t="shared" si="31"/>
        <v>150</v>
      </c>
      <c r="I75" s="4">
        <v>5</v>
      </c>
      <c r="J75" s="4" t="s">
        <v>14</v>
      </c>
      <c r="K75" s="73">
        <f t="shared" si="26"/>
        <v>690</v>
      </c>
      <c r="L75" s="73">
        <f t="shared" si="27"/>
        <v>0</v>
      </c>
      <c r="M75" s="73">
        <f t="shared" si="28"/>
        <v>675</v>
      </c>
      <c r="N75" s="7" t="str">
        <f>IF(O75=""," ",VLOOKUP(O75,'[8]2012 личен състав ОТД'!$A:$AO,2,FALSE))</f>
        <v xml:space="preserve"> </v>
      </c>
      <c r="O75" s="3"/>
      <c r="P75" s="7" t="str">
        <f>IF(O75=""," ",VLOOKUP(O75,'[8]2012 личен състав ОТД'!$A:$AO,13,FALSE))</f>
        <v xml:space="preserve"> </v>
      </c>
      <c r="Q75" s="3" t="str">
        <f>IF(O75=""," ",VLOOKUP(O75,'[8]2012 личен състав ОТД'!$A:$AO,12,FALSE))</f>
        <v xml:space="preserve"> </v>
      </c>
      <c r="R75" s="57" t="str">
        <f>IF(A75=""," ",VLOOKUP(A75,'Профилиращ лист'!A:B,2,FALSE))</f>
        <v>ПРА</v>
      </c>
      <c r="S75" s="57"/>
      <c r="T75" s="57" t="e">
        <f t="shared" ca="1" si="29"/>
        <v>#VALUE!</v>
      </c>
      <c r="U75" s="57"/>
    </row>
    <row r="76" spans="1:21" x14ac:dyDescent="0.25">
      <c r="A76" s="8" t="s">
        <v>53</v>
      </c>
      <c r="B76" s="8">
        <v>30</v>
      </c>
      <c r="C76" s="4">
        <v>30</v>
      </c>
      <c r="D76" s="4">
        <v>15</v>
      </c>
      <c r="E76" s="4">
        <v>15</v>
      </c>
      <c r="F76" s="4">
        <v>0</v>
      </c>
      <c r="G76" s="4">
        <f t="shared" si="30"/>
        <v>30</v>
      </c>
      <c r="H76" s="4">
        <f t="shared" si="31"/>
        <v>60</v>
      </c>
      <c r="I76" s="4">
        <v>2</v>
      </c>
      <c r="J76" s="6" t="s">
        <v>12</v>
      </c>
      <c r="K76" s="73">
        <f t="shared" si="26"/>
        <v>60</v>
      </c>
      <c r="L76" s="73">
        <f t="shared" si="27"/>
        <v>30</v>
      </c>
      <c r="M76" s="73">
        <f t="shared" si="28"/>
        <v>30</v>
      </c>
      <c r="N76" s="7" t="str">
        <f>IF(O76=""," ",VLOOKUP(O76,'[8]2012 личен състав ОТД'!$A:$AO,2,FALSE))</f>
        <v>доц. д-р Михаил Грънчаров</v>
      </c>
      <c r="O76" s="3" t="s">
        <v>484</v>
      </c>
      <c r="P76" s="7">
        <f>IF(O76=""," ",VLOOKUP(O76,'[8]2012 личен състав ОТД'!$A:$AO,13,FALSE))</f>
        <v>1946</v>
      </c>
      <c r="Q76" s="3" t="str">
        <f>IF(O76=""," ",VLOOKUP(O76,'[8]2012 личен състав ОТД'!$A:$AO,12,FALSE))</f>
        <v>ОТД</v>
      </c>
      <c r="R76" s="57" t="str">
        <f>IF(A76=""," ",VLOOKUP(A76,'Профилиращ лист'!A:B,2,FALSE))</f>
        <v>СПЕ</v>
      </c>
      <c r="S76" s="57"/>
      <c r="T76" s="57">
        <f t="shared" ca="1" si="29"/>
        <v>67</v>
      </c>
      <c r="U76" s="57"/>
    </row>
    <row r="77" spans="1:21" x14ac:dyDescent="0.25">
      <c r="A77" s="8" t="s">
        <v>54</v>
      </c>
      <c r="B77" s="4">
        <v>30</v>
      </c>
      <c r="C77" s="4">
        <v>45</v>
      </c>
      <c r="D77" s="4">
        <v>15</v>
      </c>
      <c r="E77" s="4">
        <v>30</v>
      </c>
      <c r="F77" s="4">
        <v>0</v>
      </c>
      <c r="G77" s="4">
        <f t="shared" si="30"/>
        <v>15</v>
      </c>
      <c r="H77" s="4">
        <f t="shared" si="31"/>
        <v>60</v>
      </c>
      <c r="I77" s="4">
        <v>2</v>
      </c>
      <c r="J77" s="4" t="s">
        <v>12</v>
      </c>
      <c r="K77" s="73">
        <f t="shared" si="26"/>
        <v>75</v>
      </c>
      <c r="L77" s="73">
        <f t="shared" si="27"/>
        <v>45</v>
      </c>
      <c r="M77" s="73">
        <f t="shared" si="28"/>
        <v>30</v>
      </c>
      <c r="N77" s="7" t="str">
        <f>IF(O77=""," ",VLOOKUP(O77,'[8]2012 личен състав ОТД'!$A:$AO,2,FALSE))</f>
        <v>доц. д-р Михаил Грънчаров</v>
      </c>
      <c r="O77" s="3" t="s">
        <v>484</v>
      </c>
      <c r="P77" s="7">
        <f>IF(O77=""," ",VLOOKUP(O77,'[8]2012 личен състав ОТД'!$A:$AO,13,FALSE))</f>
        <v>1946</v>
      </c>
      <c r="Q77" s="3" t="str">
        <f>IF(O77=""," ",VLOOKUP(O77,'[8]2012 личен състав ОТД'!$A:$AO,12,FALSE))</f>
        <v>ОТД</v>
      </c>
      <c r="R77" s="57" t="str">
        <f>IF(A77=""," ",VLOOKUP(A77,'Профилиращ лист'!A:B,2,FALSE))</f>
        <v>СПЕ</v>
      </c>
      <c r="S77" s="57"/>
      <c r="T77" s="57">
        <f t="shared" ca="1" si="29"/>
        <v>67</v>
      </c>
      <c r="U77" s="57"/>
    </row>
    <row r="78" spans="1:21" x14ac:dyDescent="0.25">
      <c r="A78" s="8" t="s">
        <v>66</v>
      </c>
      <c r="B78" s="4">
        <v>30</v>
      </c>
      <c r="C78" s="4">
        <v>30</v>
      </c>
      <c r="D78" s="4">
        <v>0</v>
      </c>
      <c r="E78" s="4">
        <v>0</v>
      </c>
      <c r="F78" s="4">
        <v>30</v>
      </c>
      <c r="G78" s="4">
        <f t="shared" si="30"/>
        <v>30</v>
      </c>
      <c r="H78" s="4">
        <f t="shared" si="31"/>
        <v>60</v>
      </c>
      <c r="I78" s="4">
        <v>2</v>
      </c>
      <c r="J78" s="4" t="s">
        <v>18</v>
      </c>
      <c r="K78" s="73">
        <f t="shared" si="26"/>
        <v>30</v>
      </c>
      <c r="L78" s="73">
        <f t="shared" si="27"/>
        <v>0</v>
      </c>
      <c r="M78" s="73">
        <f t="shared" si="28"/>
        <v>30</v>
      </c>
      <c r="N78" s="7" t="str">
        <f>IF(O78=""," ",VLOOKUP(O78,'[8]2012 личен състав ОТД'!$A:$AO,2,FALSE))</f>
        <v xml:space="preserve"> </v>
      </c>
      <c r="O78" s="3"/>
      <c r="P78" s="7" t="str">
        <f>IF(O78=""," ",VLOOKUP(O78,'[8]2012 личен състав ОТД'!$A:$AO,13,FALSE))</f>
        <v xml:space="preserve"> </v>
      </c>
      <c r="Q78" s="3" t="str">
        <f>IF(O78=""," ",VLOOKUP(O78,'[8]2012 личен състав ОТД'!$A:$AO,12,FALSE))</f>
        <v xml:space="preserve"> </v>
      </c>
      <c r="R78" s="57" t="str">
        <f>IF(A78=""," ",VLOOKUP(A78,'Профилиращ лист'!A:B,2,FALSE))</f>
        <v>ПЕД</v>
      </c>
      <c r="S78" s="57"/>
      <c r="T78" s="57" t="e">
        <f t="shared" ca="1" si="29"/>
        <v>#VALUE!</v>
      </c>
      <c r="U78" s="57"/>
    </row>
    <row r="79" spans="1:21" x14ac:dyDescent="0.25">
      <c r="A79" s="8" t="s">
        <v>67</v>
      </c>
      <c r="B79" s="8">
        <v>15</v>
      </c>
      <c r="C79" s="4">
        <v>15</v>
      </c>
      <c r="D79" s="4">
        <v>0</v>
      </c>
      <c r="E79" s="4">
        <v>0</v>
      </c>
      <c r="F79" s="4">
        <v>15</v>
      </c>
      <c r="G79" s="4">
        <f t="shared" si="30"/>
        <v>45</v>
      </c>
      <c r="H79" s="4">
        <f t="shared" si="31"/>
        <v>60</v>
      </c>
      <c r="I79" s="4">
        <v>2</v>
      </c>
      <c r="J79" s="4" t="s">
        <v>18</v>
      </c>
      <c r="K79" s="73">
        <f t="shared" si="26"/>
        <v>15</v>
      </c>
      <c r="L79" s="73">
        <f t="shared" si="27"/>
        <v>0</v>
      </c>
      <c r="M79" s="73">
        <f t="shared" si="28"/>
        <v>15</v>
      </c>
      <c r="N79" s="7" t="str">
        <f>IF(O79=""," ",VLOOKUP(O79,'[8]2012 личен състав ОТД'!$A:$AO,2,FALSE))</f>
        <v xml:space="preserve"> </v>
      </c>
      <c r="O79" s="3"/>
      <c r="P79" s="7" t="str">
        <f>IF(O79=""," ",VLOOKUP(O79,'[8]2012 личен състав ОТД'!$A:$AO,13,FALSE))</f>
        <v xml:space="preserve"> </v>
      </c>
      <c r="Q79" s="3" t="str">
        <f>IF(O79=""," ",VLOOKUP(O79,'[8]2012 личен състав ОТД'!$A:$AO,12,FALSE))</f>
        <v xml:space="preserve"> </v>
      </c>
      <c r="R79" s="57" t="str">
        <f>IF(A79=""," ",VLOOKUP(A79,'Профилиращ лист'!A:B,2,FALSE))</f>
        <v>ПЕД</v>
      </c>
      <c r="S79" s="57"/>
      <c r="T79" s="57" t="e">
        <f t="shared" ca="1" si="29"/>
        <v>#VALUE!</v>
      </c>
      <c r="U79" s="57"/>
    </row>
    <row r="80" spans="1:21" x14ac:dyDescent="0.25">
      <c r="B80" s="9">
        <f t="shared" ref="B80:I80" si="32">SUM(B69:B79)</f>
        <v>345</v>
      </c>
      <c r="C80" s="9">
        <f t="shared" si="32"/>
        <v>360</v>
      </c>
      <c r="D80" s="9">
        <f t="shared" si="32"/>
        <v>165</v>
      </c>
      <c r="E80" s="9">
        <f t="shared" si="32"/>
        <v>75</v>
      </c>
      <c r="F80" s="9">
        <f t="shared" si="32"/>
        <v>120</v>
      </c>
      <c r="G80" s="9">
        <f t="shared" si="32"/>
        <v>540</v>
      </c>
      <c r="H80" s="9">
        <f t="shared" si="32"/>
        <v>900</v>
      </c>
      <c r="I80" s="9">
        <f t="shared" si="32"/>
        <v>30</v>
      </c>
      <c r="J80" s="6"/>
      <c r="K80" s="73">
        <f t="shared" si="26"/>
        <v>0</v>
      </c>
      <c r="L80" s="73">
        <f t="shared" si="27"/>
        <v>0</v>
      </c>
      <c r="M80" s="73">
        <f t="shared" si="28"/>
        <v>0</v>
      </c>
      <c r="N80" s="7" t="str">
        <f>IF(O80=""," ",VLOOKUP(O80,'[8]2012 личен състав ОТД'!$A:$AO,2,FALSE))</f>
        <v xml:space="preserve"> </v>
      </c>
      <c r="O80" s="3"/>
      <c r="P80" s="7" t="str">
        <f>IF(O80=""," ",VLOOKUP(O80,'[8]2012 личен състав ОТД'!$A:$AO,13,FALSE))</f>
        <v xml:space="preserve"> </v>
      </c>
      <c r="Q80" s="3" t="str">
        <f>IF(O80=""," ",VLOOKUP(O80,'[8]2012 личен състав ОТД'!$A:$AO,12,FALSE))</f>
        <v xml:space="preserve"> </v>
      </c>
      <c r="R80" s="57" t="str">
        <f>IF(A80=""," ",VLOOKUP(A80,'Профилиращ лист'!A:B,2,FALSE))</f>
        <v xml:space="preserve"> </v>
      </c>
      <c r="S80" s="57"/>
      <c r="T80" s="57" t="e">
        <f t="shared" ca="1" si="29"/>
        <v>#VALUE!</v>
      </c>
      <c r="U80" s="57"/>
    </row>
    <row r="81" spans="1:21" x14ac:dyDescent="0.25">
      <c r="A81" s="1" t="s">
        <v>68</v>
      </c>
      <c r="B81" s="1"/>
      <c r="K81" s="73">
        <f t="shared" si="26"/>
        <v>0</v>
      </c>
      <c r="L81" s="73">
        <f t="shared" si="27"/>
        <v>0</v>
      </c>
      <c r="M81" s="73">
        <f t="shared" si="28"/>
        <v>0</v>
      </c>
      <c r="N81" s="7" t="str">
        <f>IF(O81=""," ",VLOOKUP(O81,'[8]2012 личен състав ОТД'!$A:$AO,2,FALSE))</f>
        <v xml:space="preserve"> </v>
      </c>
      <c r="O81" s="3"/>
      <c r="P81" s="7" t="str">
        <f>IF(O81=""," ",VLOOKUP(O81,'[8]2012 личен състав ОТД'!$A:$AO,13,FALSE))</f>
        <v xml:space="preserve"> </v>
      </c>
      <c r="Q81" s="3" t="str">
        <f>IF(O81=""," ",VLOOKUP(O81,'[8]2012 личен състав ОТД'!$A:$AO,12,FALSE))</f>
        <v xml:space="preserve"> </v>
      </c>
      <c r="R81" s="57" t="e">
        <f>IF(A81=""," ",VLOOKUP(A81,'Профилиращ лист'!A:B,2,FALSE))</f>
        <v>#N/A</v>
      </c>
      <c r="S81" s="57"/>
      <c r="T81" s="57" t="e">
        <f t="shared" ca="1" si="29"/>
        <v>#VALUE!</v>
      </c>
      <c r="U81" s="57"/>
    </row>
    <row r="82" spans="1:21" x14ac:dyDescent="0.25">
      <c r="A82" s="8" t="s">
        <v>69</v>
      </c>
      <c r="B82" s="4">
        <v>30</v>
      </c>
      <c r="C82" s="4">
        <v>30</v>
      </c>
      <c r="D82" s="4">
        <v>15</v>
      </c>
      <c r="E82" s="4">
        <v>15</v>
      </c>
      <c r="F82" s="4">
        <v>0</v>
      </c>
      <c r="G82" s="4">
        <f t="shared" ref="G82:G89" si="33">H82-C82</f>
        <v>60</v>
      </c>
      <c r="H82" s="4">
        <f t="shared" ref="H82:H89" si="34">I82*30</f>
        <v>90</v>
      </c>
      <c r="I82" s="4">
        <v>3</v>
      </c>
      <c r="J82" s="4" t="s">
        <v>12</v>
      </c>
      <c r="K82" s="73">
        <f t="shared" si="26"/>
        <v>30</v>
      </c>
      <c r="L82" s="73">
        <f t="shared" si="27"/>
        <v>15</v>
      </c>
      <c r="M82" s="73">
        <f t="shared" si="28"/>
        <v>15</v>
      </c>
      <c r="N82" s="7" t="str">
        <f>IF(O82=""," ",VLOOKUP(O82,'[8]2012 личен състав ОТД'!$A:$AO,2,FALSE))</f>
        <v>гл. ас. д-р Витана Костадинова</v>
      </c>
      <c r="O82" s="3" t="s">
        <v>493</v>
      </c>
      <c r="P82" s="7">
        <f>IF(O82=""," ",VLOOKUP(O82,'[8]2012 личен състав ОТД'!$A:$AO,13,FALSE))</f>
        <v>1970</v>
      </c>
      <c r="Q82" s="3" t="str">
        <f>IF(O82=""," ",VLOOKUP(O82,'[8]2012 личен състав ОТД'!$A:$AO,12,FALSE))</f>
        <v>ОТД</v>
      </c>
      <c r="R82" s="57" t="str">
        <f>IF(A82=""," ",VLOOKUP(A82,'Профилиращ лист'!A:B,2,FALSE))</f>
        <v>СПЕ</v>
      </c>
      <c r="S82" s="57"/>
      <c r="T82" s="57">
        <f t="shared" ca="1" si="29"/>
        <v>43</v>
      </c>
      <c r="U82" s="57"/>
    </row>
    <row r="83" spans="1:21" x14ac:dyDescent="0.25">
      <c r="A83" s="8" t="s">
        <v>62</v>
      </c>
      <c r="B83" s="4">
        <v>30</v>
      </c>
      <c r="C83" s="4">
        <v>45</v>
      </c>
      <c r="D83" s="4">
        <v>30</v>
      </c>
      <c r="E83" s="4">
        <v>15</v>
      </c>
      <c r="F83" s="4">
        <v>0</v>
      </c>
      <c r="G83" s="4">
        <f t="shared" si="33"/>
        <v>75</v>
      </c>
      <c r="H83" s="4">
        <f t="shared" si="34"/>
        <v>120</v>
      </c>
      <c r="I83" s="4">
        <v>4</v>
      </c>
      <c r="J83" s="4" t="s">
        <v>12</v>
      </c>
      <c r="K83" s="73">
        <f t="shared" si="26"/>
        <v>90</v>
      </c>
      <c r="L83" s="73">
        <f t="shared" si="27"/>
        <v>75</v>
      </c>
      <c r="M83" s="73">
        <f t="shared" si="28"/>
        <v>15</v>
      </c>
      <c r="N83" s="7" t="str">
        <f>IF(O83=""," ",VLOOKUP(O83,'[8]2012 личен състав ОТД'!$A:$AO,2,FALSE))</f>
        <v>проф. дфн Любка Липчева-Пранджева</v>
      </c>
      <c r="O83" s="3" t="s">
        <v>495</v>
      </c>
      <c r="P83" s="7">
        <f>IF(O83=""," ",VLOOKUP(O83,'[8]2012 личен състав ОТД'!$A:$AO,13,FALSE))</f>
        <v>1961</v>
      </c>
      <c r="Q83" s="3" t="str">
        <f>IF(O83=""," ",VLOOKUP(O83,'[8]2012 личен състав ОТД'!$A:$AO,12,FALSE))</f>
        <v>ОТД</v>
      </c>
      <c r="R83" s="57" t="str">
        <f>IF(A83=""," ",VLOOKUP(A83,'Профилиращ лист'!A:B,2,FALSE))</f>
        <v>СПЕ</v>
      </c>
      <c r="S83" s="57"/>
      <c r="T83" s="57">
        <f t="shared" ca="1" si="29"/>
        <v>52</v>
      </c>
      <c r="U83" s="57"/>
    </row>
    <row r="84" spans="1:21" x14ac:dyDescent="0.25">
      <c r="A84" s="8" t="s">
        <v>15</v>
      </c>
      <c r="B84" s="8">
        <v>90</v>
      </c>
      <c r="C84" s="4">
        <v>75</v>
      </c>
      <c r="D84" s="4">
        <v>0</v>
      </c>
      <c r="E84" s="4">
        <v>0</v>
      </c>
      <c r="F84" s="4">
        <v>75</v>
      </c>
      <c r="G84" s="4">
        <f t="shared" si="33"/>
        <v>135</v>
      </c>
      <c r="H84" s="4">
        <f t="shared" si="34"/>
        <v>210</v>
      </c>
      <c r="I84" s="4">
        <v>7</v>
      </c>
      <c r="J84" s="4" t="s">
        <v>12</v>
      </c>
      <c r="K84" s="73">
        <f t="shared" si="26"/>
        <v>690</v>
      </c>
      <c r="L84" s="73">
        <f t="shared" si="27"/>
        <v>0</v>
      </c>
      <c r="M84" s="73">
        <f t="shared" si="28"/>
        <v>675</v>
      </c>
      <c r="N84" s="7" t="str">
        <f>IF(O84=""," ",VLOOKUP(O84,'[8]2012 личен състав ОТД'!$A:$AO,2,FALSE))</f>
        <v xml:space="preserve"> </v>
      </c>
      <c r="O84" s="3"/>
      <c r="P84" s="7" t="str">
        <f>IF(O84=""," ",VLOOKUP(O84,'[8]2012 личен състав ОТД'!$A:$AO,13,FALSE))</f>
        <v xml:space="preserve"> </v>
      </c>
      <c r="Q84" s="3" t="str">
        <f>IF(O84=""," ",VLOOKUP(O84,'[8]2012 личен състав ОТД'!$A:$AO,12,FALSE))</f>
        <v xml:space="preserve"> </v>
      </c>
      <c r="R84" s="57" t="str">
        <f>IF(A84=""," ",VLOOKUP(A84,'Профилиращ лист'!A:B,2,FALSE))</f>
        <v>ПРА</v>
      </c>
      <c r="S84" s="57"/>
      <c r="T84" s="57" t="e">
        <f t="shared" ca="1" si="29"/>
        <v>#VALUE!</v>
      </c>
      <c r="U84" s="57"/>
    </row>
    <row r="85" spans="1:21" x14ac:dyDescent="0.25">
      <c r="A85" s="8" t="s">
        <v>70</v>
      </c>
      <c r="B85" s="8">
        <v>30</v>
      </c>
      <c r="C85" s="4">
        <v>30</v>
      </c>
      <c r="D85" s="4">
        <v>0</v>
      </c>
      <c r="E85" s="4">
        <v>0</v>
      </c>
      <c r="F85" s="4">
        <v>30</v>
      </c>
      <c r="G85" s="4">
        <f t="shared" si="33"/>
        <v>60</v>
      </c>
      <c r="H85" s="4">
        <f t="shared" si="34"/>
        <v>90</v>
      </c>
      <c r="I85" s="4">
        <v>3</v>
      </c>
      <c r="J85" s="4" t="s">
        <v>12</v>
      </c>
      <c r="K85" s="73">
        <f t="shared" si="26"/>
        <v>30</v>
      </c>
      <c r="L85" s="73">
        <f t="shared" si="27"/>
        <v>0</v>
      </c>
      <c r="M85" s="73">
        <f t="shared" si="28"/>
        <v>30</v>
      </c>
      <c r="N85" s="7" t="str">
        <f>IF(O85=""," ",VLOOKUP(O85,'[8]2012 личен състав ОТД'!$A:$AO,2,FALSE))</f>
        <v xml:space="preserve"> </v>
      </c>
      <c r="O85" s="3"/>
      <c r="P85" s="7" t="str">
        <f>IF(O85=""," ",VLOOKUP(O85,'[8]2012 личен състав ОТД'!$A:$AO,13,FALSE))</f>
        <v xml:space="preserve"> </v>
      </c>
      <c r="Q85" s="3" t="str">
        <f>IF(O85=""," ",VLOOKUP(O85,'[8]2012 личен състав ОТД'!$A:$AO,12,FALSE))</f>
        <v xml:space="preserve"> </v>
      </c>
      <c r="R85" s="57" t="str">
        <f>IF(A85=""," ",VLOOKUP(A85,'Профилиращ лист'!A:B,2,FALSE))</f>
        <v>ПЕД</v>
      </c>
      <c r="S85" s="57"/>
      <c r="T85" s="57" t="e">
        <f t="shared" ca="1" si="29"/>
        <v>#VALUE!</v>
      </c>
      <c r="U85" s="57"/>
    </row>
    <row r="86" spans="1:21" x14ac:dyDescent="0.25">
      <c r="A86" s="8" t="s">
        <v>71</v>
      </c>
      <c r="B86" s="4">
        <v>45</v>
      </c>
      <c r="C86" s="4">
        <v>45</v>
      </c>
      <c r="D86" s="4">
        <v>0</v>
      </c>
      <c r="E86" s="4">
        <v>0</v>
      </c>
      <c r="F86" s="4">
        <v>45</v>
      </c>
      <c r="G86" s="4">
        <f t="shared" si="33"/>
        <v>75</v>
      </c>
      <c r="H86" s="4">
        <f t="shared" si="34"/>
        <v>120</v>
      </c>
      <c r="I86" s="4">
        <v>4</v>
      </c>
      <c r="J86" s="4" t="s">
        <v>12</v>
      </c>
      <c r="K86" s="73">
        <f t="shared" si="26"/>
        <v>45</v>
      </c>
      <c r="L86" s="73">
        <f t="shared" si="27"/>
        <v>0</v>
      </c>
      <c r="M86" s="73">
        <f t="shared" si="28"/>
        <v>45</v>
      </c>
      <c r="N86" s="7" t="str">
        <f>IF(O86=""," ",VLOOKUP(O86,'[8]2012 личен състав ОТД'!$A:$AO,2,FALSE))</f>
        <v xml:space="preserve"> </v>
      </c>
      <c r="O86" s="3"/>
      <c r="P86" s="7" t="str">
        <f>IF(O86=""," ",VLOOKUP(O86,'[8]2012 личен състав ОТД'!$A:$AO,13,FALSE))</f>
        <v xml:space="preserve"> </v>
      </c>
      <c r="Q86" s="3" t="str">
        <f>IF(O86=""," ",VLOOKUP(O86,'[8]2012 личен състав ОТД'!$A:$AO,12,FALSE))</f>
        <v xml:space="preserve"> </v>
      </c>
      <c r="R86" s="57" t="str">
        <f>IF(A86=""," ",VLOOKUP(A86,'Профилиращ лист'!A:B,2,FALSE))</f>
        <v>ПЕД</v>
      </c>
      <c r="S86" s="57"/>
      <c r="T86" s="57" t="e">
        <f t="shared" ca="1" si="29"/>
        <v>#VALUE!</v>
      </c>
      <c r="U86" s="57"/>
    </row>
    <row r="87" spans="1:21" x14ac:dyDescent="0.25">
      <c r="A87" s="8" t="s">
        <v>72</v>
      </c>
      <c r="B87" s="4">
        <v>30</v>
      </c>
      <c r="C87" s="4">
        <v>15</v>
      </c>
      <c r="D87" s="4">
        <v>0</v>
      </c>
      <c r="E87" s="4">
        <v>0</v>
      </c>
      <c r="F87" s="4">
        <v>15</v>
      </c>
      <c r="G87" s="4">
        <f t="shared" si="33"/>
        <v>45</v>
      </c>
      <c r="H87" s="4">
        <f t="shared" si="34"/>
        <v>60</v>
      </c>
      <c r="I87" s="4">
        <v>2</v>
      </c>
      <c r="J87" s="4" t="s">
        <v>18</v>
      </c>
      <c r="K87" s="73">
        <f t="shared" si="26"/>
        <v>15</v>
      </c>
      <c r="L87" s="73">
        <f t="shared" si="27"/>
        <v>0</v>
      </c>
      <c r="M87" s="73">
        <f t="shared" si="28"/>
        <v>15</v>
      </c>
      <c r="N87" s="7" t="str">
        <f>IF(O87=""," ",VLOOKUP(O87,'[8]2012 личен състав ОТД'!$A:$AO,2,FALSE))</f>
        <v xml:space="preserve"> </v>
      </c>
      <c r="O87" s="3"/>
      <c r="P87" s="7" t="str">
        <f>IF(O87=""," ",VLOOKUP(O87,'[8]2012 личен състав ОТД'!$A:$AO,13,FALSE))</f>
        <v xml:space="preserve"> </v>
      </c>
      <c r="Q87" s="3" t="str">
        <f>IF(O87=""," ",VLOOKUP(O87,'[8]2012 личен състав ОТД'!$A:$AO,12,FALSE))</f>
        <v xml:space="preserve"> </v>
      </c>
      <c r="R87" s="57" t="str">
        <f>IF(A87=""," ",VLOOKUP(A87,'Профилиращ лист'!A:B,2,FALSE))</f>
        <v>ФД</v>
      </c>
      <c r="S87" s="57"/>
      <c r="T87" s="57" t="e">
        <f t="shared" ca="1" si="29"/>
        <v>#VALUE!</v>
      </c>
      <c r="U87" s="57"/>
    </row>
    <row r="88" spans="1:21" x14ac:dyDescent="0.25">
      <c r="A88" s="8" t="s">
        <v>73</v>
      </c>
      <c r="B88" s="8">
        <v>30</v>
      </c>
      <c r="C88" s="4">
        <v>30</v>
      </c>
      <c r="D88" s="4">
        <v>15</v>
      </c>
      <c r="E88" s="4">
        <v>15</v>
      </c>
      <c r="F88" s="4">
        <v>0</v>
      </c>
      <c r="G88" s="4">
        <f t="shared" si="33"/>
        <v>60</v>
      </c>
      <c r="H88" s="4">
        <f t="shared" si="34"/>
        <v>90</v>
      </c>
      <c r="I88" s="4">
        <v>3</v>
      </c>
      <c r="J88" s="4" t="s">
        <v>12</v>
      </c>
      <c r="K88" s="73">
        <f t="shared" si="26"/>
        <v>30</v>
      </c>
      <c r="L88" s="73">
        <f t="shared" si="27"/>
        <v>15</v>
      </c>
      <c r="M88" s="73">
        <f t="shared" si="28"/>
        <v>15</v>
      </c>
      <c r="N88" s="7" t="str">
        <f>IF(O88=""," ",VLOOKUP(O88,'[8]2012 личен състав ОТД'!$A:$AO,2,FALSE))</f>
        <v>доц. д-р Михаил Грънчаров</v>
      </c>
      <c r="O88" s="3" t="s">
        <v>484</v>
      </c>
      <c r="P88" s="7">
        <f>IF(O88=""," ",VLOOKUP(O88,'[8]2012 личен състав ОТД'!$A:$AO,13,FALSE))</f>
        <v>1946</v>
      </c>
      <c r="Q88" s="3" t="str">
        <f>IF(O88=""," ",VLOOKUP(O88,'[8]2012 личен състав ОТД'!$A:$AO,12,FALSE))</f>
        <v>ОТД</v>
      </c>
      <c r="R88" s="57" t="str">
        <f>IF(A88=""," ",VLOOKUP(A88,'Профилиращ лист'!A:B,2,FALSE))</f>
        <v>СПЕ</v>
      </c>
      <c r="S88" s="57"/>
      <c r="T88" s="57">
        <f t="shared" ca="1" si="29"/>
        <v>67</v>
      </c>
      <c r="U88" s="57"/>
    </row>
    <row r="89" spans="1:21" x14ac:dyDescent="0.25">
      <c r="A89" s="8" t="s">
        <v>74</v>
      </c>
      <c r="B89" s="4">
        <v>30</v>
      </c>
      <c r="C89" s="4">
        <v>45</v>
      </c>
      <c r="D89" s="4">
        <v>30</v>
      </c>
      <c r="E89" s="4">
        <v>15</v>
      </c>
      <c r="F89" s="4">
        <v>0</v>
      </c>
      <c r="G89" s="4">
        <f t="shared" si="33"/>
        <v>75</v>
      </c>
      <c r="H89" s="4">
        <f t="shared" si="34"/>
        <v>120</v>
      </c>
      <c r="I89" s="4">
        <v>4</v>
      </c>
      <c r="J89" s="4" t="s">
        <v>12</v>
      </c>
      <c r="K89" s="73">
        <f t="shared" si="26"/>
        <v>45</v>
      </c>
      <c r="L89" s="73">
        <f t="shared" si="27"/>
        <v>30</v>
      </c>
      <c r="M89" s="73">
        <f t="shared" si="28"/>
        <v>15</v>
      </c>
      <c r="N89" s="7" t="str">
        <f>IF(O89=""," ",VLOOKUP(O89,'[8]2012 личен състав ОТД'!$A:$AO,2,FALSE))</f>
        <v>доц. дфн Вера Маровска</v>
      </c>
      <c r="O89" s="3" t="s">
        <v>473</v>
      </c>
      <c r="P89" s="7">
        <f>IF(O89=""," ",VLOOKUP(O89,'[8]2012 личен състав ОТД'!$A:$AO,13,FALSE))</f>
        <v>1954</v>
      </c>
      <c r="Q89" s="3" t="str">
        <f>IF(O89=""," ",VLOOKUP(O89,'[8]2012 личен състав ОТД'!$A:$AO,12,FALSE))</f>
        <v>ОТД</v>
      </c>
      <c r="R89" s="57" t="str">
        <f>IF(A89=""," ",VLOOKUP(A89,'Профилиращ лист'!A:B,2,FALSE))</f>
        <v>СПЕ</v>
      </c>
      <c r="S89" s="57"/>
      <c r="T89" s="57">
        <f t="shared" ca="1" si="29"/>
        <v>59</v>
      </c>
      <c r="U89" s="57"/>
    </row>
    <row r="90" spans="1:21" ht="14.1" customHeight="1" x14ac:dyDescent="0.25">
      <c r="B90" s="9">
        <f t="shared" ref="B90:I90" si="35">SUM(B82:B89)</f>
        <v>315</v>
      </c>
      <c r="C90" s="9">
        <f t="shared" si="35"/>
        <v>315</v>
      </c>
      <c r="D90" s="9">
        <f t="shared" si="35"/>
        <v>90</v>
      </c>
      <c r="E90" s="9">
        <f t="shared" si="35"/>
        <v>60</v>
      </c>
      <c r="F90" s="9">
        <f t="shared" si="35"/>
        <v>165</v>
      </c>
      <c r="G90" s="9">
        <f t="shared" si="35"/>
        <v>585</v>
      </c>
      <c r="H90" s="9">
        <f t="shared" si="35"/>
        <v>900</v>
      </c>
      <c r="I90" s="9">
        <f t="shared" si="35"/>
        <v>30</v>
      </c>
      <c r="J90" s="6"/>
      <c r="K90" s="73">
        <f t="shared" si="26"/>
        <v>0</v>
      </c>
      <c r="L90" s="73">
        <f t="shared" si="27"/>
        <v>0</v>
      </c>
      <c r="M90" s="73">
        <f t="shared" si="28"/>
        <v>0</v>
      </c>
      <c r="N90" s="7" t="str">
        <f>IF(O90=""," ",VLOOKUP(O90,'[8]2012 личен състав ОТД'!$A:$AO,2,FALSE))</f>
        <v xml:space="preserve"> </v>
      </c>
      <c r="O90" s="3"/>
      <c r="P90" s="7" t="str">
        <f>IF(O90=""," ",VLOOKUP(O90,'[8]2012 личен състав ОТД'!$A:$AO,13,FALSE))</f>
        <v xml:space="preserve"> </v>
      </c>
      <c r="Q90" s="3" t="str">
        <f>IF(O90=""," ",VLOOKUP(O90,'[8]2012 личен състав ОТД'!$A:$AO,12,FALSE))</f>
        <v xml:space="preserve"> </v>
      </c>
      <c r="R90" s="57" t="str">
        <f>IF(A90=""," ",VLOOKUP(A90,'Профилиращ лист'!A:B,2,FALSE))</f>
        <v xml:space="preserve"> </v>
      </c>
      <c r="S90" s="57"/>
      <c r="T90" s="57" t="e">
        <f t="shared" ca="1" si="29"/>
        <v>#VALUE!</v>
      </c>
      <c r="U90" s="57"/>
    </row>
    <row r="91" spans="1:21" x14ac:dyDescent="0.25">
      <c r="A91" s="1" t="s">
        <v>75</v>
      </c>
      <c r="B91" s="1"/>
      <c r="J91" s="6"/>
      <c r="K91" s="73">
        <f t="shared" si="26"/>
        <v>0</v>
      </c>
      <c r="L91" s="73">
        <f t="shared" si="27"/>
        <v>0</v>
      </c>
      <c r="M91" s="73">
        <f t="shared" si="28"/>
        <v>0</v>
      </c>
      <c r="N91" s="7" t="str">
        <f>IF(O91=""," ",VLOOKUP(O91,'[8]2012 личен състав ОТД'!$A:$AO,2,FALSE))</f>
        <v xml:space="preserve"> </v>
      </c>
      <c r="O91" s="3"/>
      <c r="P91" s="7" t="str">
        <f>IF(O91=""," ",VLOOKUP(O91,'[8]2012 личен състав ОТД'!$A:$AO,13,FALSE))</f>
        <v xml:space="preserve"> </v>
      </c>
      <c r="Q91" s="3" t="str">
        <f>IF(O91=""," ",VLOOKUP(O91,'[8]2012 личен състав ОТД'!$A:$AO,12,FALSE))</f>
        <v xml:space="preserve"> </v>
      </c>
      <c r="R91" s="57" t="e">
        <f>IF(A91=""," ",VLOOKUP(A91,'Профилиращ лист'!A:B,2,FALSE))</f>
        <v>#N/A</v>
      </c>
      <c r="S91" s="57"/>
      <c r="T91" s="57" t="e">
        <f t="shared" ca="1" si="29"/>
        <v>#VALUE!</v>
      </c>
      <c r="U91" s="57"/>
    </row>
    <row r="92" spans="1:21" x14ac:dyDescent="0.25">
      <c r="A92" s="8" t="s">
        <v>76</v>
      </c>
      <c r="I92" s="4">
        <v>2</v>
      </c>
      <c r="J92" s="6" t="s">
        <v>12</v>
      </c>
      <c r="K92" s="73">
        <f t="shared" si="26"/>
        <v>0</v>
      </c>
      <c r="L92" s="73">
        <f t="shared" si="27"/>
        <v>0</v>
      </c>
      <c r="M92" s="73">
        <f t="shared" si="28"/>
        <v>0</v>
      </c>
      <c r="N92" s="7" t="str">
        <f>IF(O92=""," ",VLOOKUP(O92,'[8]2012 личен състав ОТД'!$A:$AO,2,FALSE))</f>
        <v xml:space="preserve"> </v>
      </c>
      <c r="O92" s="3"/>
      <c r="P92" s="7" t="str">
        <f>IF(O92=""," ",VLOOKUP(O92,'[8]2012 личен състав ОТД'!$A:$AO,13,FALSE))</f>
        <v xml:space="preserve"> </v>
      </c>
      <c r="Q92" s="3" t="str">
        <f>IF(O92=""," ",VLOOKUP(O92,'[8]2012 личен състав ОТД'!$A:$AO,12,FALSE))</f>
        <v xml:space="preserve"> </v>
      </c>
      <c r="R92" s="57" t="e">
        <f>IF(A92=""," ",VLOOKUP(A92,'Профилиращ лист'!A:B,2,FALSE))</f>
        <v>#N/A</v>
      </c>
      <c r="S92" s="57"/>
      <c r="T92" s="57" t="e">
        <f t="shared" ca="1" si="29"/>
        <v>#VALUE!</v>
      </c>
      <c r="U92" s="57"/>
    </row>
    <row r="93" spans="1:21" x14ac:dyDescent="0.25">
      <c r="A93" s="8" t="s">
        <v>77</v>
      </c>
      <c r="I93" s="4">
        <v>2</v>
      </c>
      <c r="J93" s="6" t="s">
        <v>12</v>
      </c>
      <c r="K93" s="73">
        <f t="shared" si="26"/>
        <v>0</v>
      </c>
      <c r="L93" s="73">
        <f t="shared" si="27"/>
        <v>0</v>
      </c>
      <c r="M93" s="73">
        <f t="shared" si="28"/>
        <v>0</v>
      </c>
      <c r="N93" s="7" t="str">
        <f>IF(O93=""," ",VLOOKUP(O93,'[8]2012 личен състав ОТД'!$A:$AO,2,FALSE))</f>
        <v xml:space="preserve"> </v>
      </c>
      <c r="O93" s="3"/>
      <c r="P93" s="7" t="str">
        <f>IF(O93=""," ",VLOOKUP(O93,'[8]2012 личен състав ОТД'!$A:$AO,13,FALSE))</f>
        <v xml:space="preserve"> </v>
      </c>
      <c r="Q93" s="3" t="str">
        <f>IF(O93=""," ",VLOOKUP(O93,'[8]2012 личен състав ОТД'!$A:$AO,12,FALSE))</f>
        <v xml:space="preserve"> </v>
      </c>
      <c r="R93" s="57" t="e">
        <f>IF(A93=""," ",VLOOKUP(A93,'Профилиращ лист'!A:B,2,FALSE))</f>
        <v>#N/A</v>
      </c>
      <c r="S93" s="57"/>
      <c r="T93" s="57" t="e">
        <f t="shared" ca="1" si="29"/>
        <v>#VALUE!</v>
      </c>
      <c r="U93" s="57"/>
    </row>
    <row r="94" spans="1:21" x14ac:dyDescent="0.25">
      <c r="A94" s="8" t="s">
        <v>78</v>
      </c>
      <c r="I94" s="4">
        <v>3</v>
      </c>
      <c r="J94" s="6" t="s">
        <v>12</v>
      </c>
      <c r="K94" s="73">
        <f t="shared" si="26"/>
        <v>0</v>
      </c>
      <c r="L94" s="73">
        <f t="shared" si="27"/>
        <v>0</v>
      </c>
      <c r="M94" s="73">
        <f t="shared" si="28"/>
        <v>0</v>
      </c>
      <c r="N94" s="7" t="str">
        <f>IF(O94=""," ",VLOOKUP(O94,'[8]2012 личен състав ОТД'!$A:$AO,2,FALSE))</f>
        <v xml:space="preserve"> </v>
      </c>
      <c r="O94" s="3"/>
      <c r="P94" s="7" t="str">
        <f>IF(O94=""," ",VLOOKUP(O94,'[8]2012 личен състав ОТД'!$A:$AO,13,FALSE))</f>
        <v xml:space="preserve"> </v>
      </c>
      <c r="Q94" s="3" t="str">
        <f>IF(O94=""," ",VLOOKUP(O94,'[8]2012 личен състав ОТД'!$A:$AO,12,FALSE))</f>
        <v xml:space="preserve"> </v>
      </c>
      <c r="R94" s="57" t="e">
        <f>IF(A94=""," ",VLOOKUP(A94,'Профилиращ лист'!A:B,2,FALSE))</f>
        <v>#N/A</v>
      </c>
      <c r="S94" s="57"/>
      <c r="T94" s="57" t="e">
        <f t="shared" ca="1" si="29"/>
        <v>#VALUE!</v>
      </c>
      <c r="U94" s="57"/>
    </row>
    <row r="95" spans="1:21" x14ac:dyDescent="0.25">
      <c r="A95" s="8" t="s">
        <v>79</v>
      </c>
      <c r="I95" s="4">
        <v>3</v>
      </c>
      <c r="J95" s="6" t="s">
        <v>12</v>
      </c>
      <c r="K95" s="73">
        <f t="shared" si="26"/>
        <v>0</v>
      </c>
      <c r="L95" s="73">
        <f t="shared" si="27"/>
        <v>0</v>
      </c>
      <c r="M95" s="73">
        <f t="shared" si="28"/>
        <v>0</v>
      </c>
      <c r="N95" s="7" t="str">
        <f>IF(O95=""," ",VLOOKUP(O95,'[8]2012 личен състав ОТД'!$A:$AO,2,FALSE))</f>
        <v xml:space="preserve"> </v>
      </c>
      <c r="O95" s="3"/>
      <c r="P95" s="7" t="str">
        <f>IF(O95=""," ",VLOOKUP(O95,'[8]2012 личен състав ОТД'!$A:$AO,13,FALSE))</f>
        <v xml:space="preserve"> </v>
      </c>
      <c r="Q95" s="3" t="str">
        <f>IF(O95=""," ",VLOOKUP(O95,'[8]2012 личен състав ОТД'!$A:$AO,12,FALSE))</f>
        <v xml:space="preserve"> </v>
      </c>
      <c r="R95" s="57" t="e">
        <f>IF(A95=""," ",VLOOKUP(A95,'Профилиращ лист'!A:B,2,FALSE))</f>
        <v>#N/A</v>
      </c>
      <c r="S95" s="57"/>
      <c r="T95" s="57" t="e">
        <f t="shared" ca="1" si="29"/>
        <v>#VALUE!</v>
      </c>
      <c r="U95" s="57"/>
    </row>
    <row r="96" spans="1:21" s="10" customFormat="1" x14ac:dyDescent="0.25">
      <c r="A96" s="8"/>
      <c r="B96" s="8"/>
      <c r="C96" s="4"/>
      <c r="D96" s="4"/>
      <c r="E96" s="4"/>
      <c r="F96" s="4"/>
      <c r="G96" s="4"/>
      <c r="H96" s="4"/>
      <c r="I96" s="11">
        <f>SUM(I92:I95)</f>
        <v>10</v>
      </c>
      <c r="K96" s="73">
        <f t="shared" si="26"/>
        <v>0</v>
      </c>
      <c r="L96" s="73">
        <f t="shared" si="27"/>
        <v>0</v>
      </c>
      <c r="M96" s="73">
        <f t="shared" si="28"/>
        <v>0</v>
      </c>
      <c r="N96" s="7" t="str">
        <f>IF(O96=""," ",VLOOKUP(O96,'[8]2012 личен състав ОТД'!$A:$AO,2,FALSE))</f>
        <v xml:space="preserve"> </v>
      </c>
      <c r="O96" s="3"/>
      <c r="P96" s="7" t="str">
        <f>IF(O96=""," ",VLOOKUP(O96,'[8]2012 личен състав ОТД'!$A:$AO,13,FALSE))</f>
        <v xml:space="preserve"> </v>
      </c>
      <c r="Q96" s="3" t="str">
        <f>IF(O96=""," ",VLOOKUP(O96,'[8]2012 личен състав ОТД'!$A:$AO,12,FALSE))</f>
        <v xml:space="preserve"> </v>
      </c>
      <c r="R96" s="57" t="str">
        <f>IF(A96=""," ",VLOOKUP(A96,'Профилиращ лист'!A:B,2,FALSE))</f>
        <v xml:space="preserve"> </v>
      </c>
      <c r="S96" s="57"/>
      <c r="T96" s="57"/>
      <c r="U96" s="57"/>
    </row>
    <row r="97" spans="1:21" s="10" customFormat="1" ht="15" customHeight="1" x14ac:dyDescent="0.25">
      <c r="A97" s="12" t="s">
        <v>80</v>
      </c>
      <c r="B97" s="9">
        <f t="shared" ref="B97:H97" si="36">B90+B80+B67+B55+B44+B33+B22+B11</f>
        <v>2640</v>
      </c>
      <c r="C97" s="9">
        <f t="shared" si="36"/>
        <v>3030</v>
      </c>
      <c r="D97" s="9">
        <f t="shared" si="36"/>
        <v>1335</v>
      </c>
      <c r="E97" s="9">
        <f t="shared" si="36"/>
        <v>615</v>
      </c>
      <c r="F97" s="9">
        <f t="shared" si="36"/>
        <v>1065</v>
      </c>
      <c r="G97" s="9">
        <f t="shared" si="36"/>
        <v>4170</v>
      </c>
      <c r="H97" s="9">
        <f t="shared" si="36"/>
        <v>7200</v>
      </c>
      <c r="I97" s="11">
        <f>I90+I80+I67+I55+I44+I33+I22+I11+I96</f>
        <v>250</v>
      </c>
      <c r="K97" s="73">
        <f t="shared" si="26"/>
        <v>3030</v>
      </c>
      <c r="L97" s="73">
        <f t="shared" si="27"/>
        <v>1335</v>
      </c>
      <c r="M97" s="73">
        <f t="shared" si="28"/>
        <v>1680</v>
      </c>
      <c r="N97" s="7" t="str">
        <f>IF(O97=""," ",VLOOKUP(O97,'[8]2012 личен състав ОТД'!$A:$AO,2,FALSE))</f>
        <v xml:space="preserve"> </v>
      </c>
      <c r="O97" s="3"/>
      <c r="P97" s="7" t="str">
        <f>IF(O97=""," ",VLOOKUP(O97,'[8]2012 личен състав ОТД'!$A:$AO,13,FALSE))</f>
        <v xml:space="preserve"> </v>
      </c>
      <c r="Q97" s="3" t="str">
        <f>IF(O97=""," ",VLOOKUP(O97,'[8]2012 личен състав ОТД'!$A:$AO,12,FALSE))</f>
        <v xml:space="preserve"> </v>
      </c>
      <c r="R97" s="57" t="e">
        <f>IF(A97=""," ",VLOOKUP(A97,'Профилиращ лист'!A:B,2,FALSE))</f>
        <v>#N/A</v>
      </c>
      <c r="S97" s="57"/>
      <c r="T97" s="57"/>
      <c r="U97" s="57"/>
    </row>
    <row r="98" spans="1:21" s="10" customFormat="1" ht="15" customHeight="1" x14ac:dyDescent="0.25">
      <c r="A98" s="8"/>
      <c r="B98" s="8"/>
      <c r="C98" s="4">
        <f>C97/120</f>
        <v>25.25</v>
      </c>
      <c r="D98" s="4">
        <f t="shared" ref="D98:I98" si="37">D97/120</f>
        <v>11.125</v>
      </c>
      <c r="E98" s="4">
        <f t="shared" si="37"/>
        <v>5.125</v>
      </c>
      <c r="F98" s="4">
        <f t="shared" si="37"/>
        <v>8.875</v>
      </c>
      <c r="G98" s="4">
        <f t="shared" si="37"/>
        <v>34.75</v>
      </c>
      <c r="H98" s="4">
        <f t="shared" si="37"/>
        <v>60</v>
      </c>
      <c r="I98" s="5">
        <f t="shared" si="37"/>
        <v>2.0833333333333335</v>
      </c>
      <c r="K98" s="73">
        <f t="shared" si="26"/>
        <v>0</v>
      </c>
      <c r="L98" s="73">
        <f t="shared" si="27"/>
        <v>0</v>
      </c>
      <c r="M98" s="73">
        <f t="shared" si="28"/>
        <v>0</v>
      </c>
      <c r="N98" s="7" t="str">
        <f>IF(O98=""," ",VLOOKUP(O98,'[8]2012 личен състав ОТД'!$A:$AO,2,FALSE))</f>
        <v xml:space="preserve"> </v>
      </c>
      <c r="O98" s="3"/>
      <c r="P98" s="7" t="str">
        <f>IF(O98=""," ",VLOOKUP(O98,'[8]2012 личен състав ОТД'!$A:$AO,13,FALSE))</f>
        <v xml:space="preserve"> </v>
      </c>
      <c r="Q98" s="3" t="str">
        <f>IF(O98=""," ",VLOOKUP(O98,'[8]2012 личен състав ОТД'!$A:$AO,12,FALSE))</f>
        <v xml:space="preserve"> </v>
      </c>
      <c r="R98" s="57" t="str">
        <f>IF(A98=""," ",VLOOKUP(A98,'Профилиращ лист'!A:B,2,FALSE))</f>
        <v xml:space="preserve"> </v>
      </c>
      <c r="S98" s="57"/>
      <c r="T98" s="57"/>
      <c r="U98" s="57"/>
    </row>
    <row r="99" spans="1:21" ht="15" customHeight="1" x14ac:dyDescent="0.25">
      <c r="K99" s="73">
        <f t="shared" ref="K99:K108" si="38">SUMIF(A:A,A99,C:C)</f>
        <v>0</v>
      </c>
      <c r="L99" s="73">
        <f t="shared" ref="L99:L108" si="39">SUMIF(A:A,A99,D:D)</f>
        <v>0</v>
      </c>
      <c r="M99" s="73">
        <f t="shared" ref="M99:M108" si="40">SUMIF(A:A,A99,E:E)+SUMIF(A:A,A99,F:F)</f>
        <v>0</v>
      </c>
      <c r="N99" s="7" t="str">
        <f>IF(O99=""," ",VLOOKUP(O99,'[8]2012 личен състав ОТД'!$A:$AO,2,FALSE))</f>
        <v xml:space="preserve"> </v>
      </c>
      <c r="O99" s="3"/>
      <c r="P99" s="7" t="str">
        <f>IF(O99=""," ",VLOOKUP(O99,'[8]2012 личен състав ОТД'!$A:$AO,13,FALSE))</f>
        <v xml:space="preserve"> </v>
      </c>
      <c r="Q99" s="3" t="str">
        <f>IF(O99=""," ",VLOOKUP(O99,'[8]2012 личен състав ОТД'!$A:$AO,12,FALSE))</f>
        <v xml:space="preserve"> </v>
      </c>
      <c r="R99" s="57" t="str">
        <f>IF(A99=""," ",VLOOKUP(A99,'Профилиращ лист'!A:B,2,FALSE))</f>
        <v xml:space="preserve"> </v>
      </c>
      <c r="S99" s="57"/>
      <c r="T99" s="57"/>
      <c r="U99" s="57"/>
    </row>
    <row r="100" spans="1:21" ht="15" customHeight="1" x14ac:dyDescent="0.25">
      <c r="K100" s="73">
        <f t="shared" si="38"/>
        <v>0</v>
      </c>
      <c r="L100" s="73">
        <f t="shared" si="39"/>
        <v>0</v>
      </c>
      <c r="M100" s="73">
        <f t="shared" si="40"/>
        <v>0</v>
      </c>
      <c r="N100" s="7" t="str">
        <f>IF(O100=""," ",VLOOKUP(O100,'[8]2012 личен състав ОТД'!$A:$AO,2,FALSE))</f>
        <v xml:space="preserve"> </v>
      </c>
      <c r="O100" s="3"/>
      <c r="P100" s="7" t="str">
        <f>IF(O100=""," ",VLOOKUP(O100,'[8]2012 личен състав ОТД'!$A:$AO,13,FALSE))</f>
        <v xml:space="preserve"> </v>
      </c>
      <c r="Q100" s="3" t="str">
        <f>IF(O100=""," ",VLOOKUP(O100,'[8]2012 личен състав ОТД'!$A:$AO,12,FALSE))</f>
        <v xml:space="preserve"> </v>
      </c>
      <c r="R100" s="57" t="str">
        <f>IF(A100=""," ",VLOOKUP(A100,'Профилиращ лист'!A:B,2,FALSE))</f>
        <v xml:space="preserve"> </v>
      </c>
      <c r="S100" s="57"/>
      <c r="T100" s="57"/>
      <c r="U100" s="57"/>
    </row>
    <row r="101" spans="1:21" ht="15" customHeight="1" x14ac:dyDescent="0.25">
      <c r="K101" s="73">
        <f t="shared" si="38"/>
        <v>0</v>
      </c>
      <c r="L101" s="73">
        <f t="shared" si="39"/>
        <v>0</v>
      </c>
      <c r="M101" s="73">
        <f t="shared" si="40"/>
        <v>0</v>
      </c>
      <c r="N101" s="7" t="str">
        <f>IF(O101=""," ",VLOOKUP(O101,'[8]2012 личен състав ОТД'!$A:$AO,2,FALSE))</f>
        <v xml:space="preserve"> </v>
      </c>
      <c r="O101" s="3"/>
      <c r="P101" s="7" t="str">
        <f>IF(O101=""," ",VLOOKUP(O101,'[8]2012 личен състав ОТД'!$A:$AO,13,FALSE))</f>
        <v xml:space="preserve"> </v>
      </c>
      <c r="Q101" s="3" t="str">
        <f>IF(O101=""," ",VLOOKUP(O101,'[8]2012 личен състав ОТД'!$A:$AO,12,FALSE))</f>
        <v xml:space="preserve"> </v>
      </c>
      <c r="R101" s="57" t="str">
        <f>IF(A101=""," ",VLOOKUP(A101,'Профилиращ лист'!A:B,2,FALSE))</f>
        <v xml:space="preserve"> </v>
      </c>
      <c r="S101" s="57"/>
      <c r="T101" s="57"/>
      <c r="U101" s="57"/>
    </row>
    <row r="102" spans="1:21" ht="15" customHeight="1" x14ac:dyDescent="0.25">
      <c r="K102" s="73">
        <f t="shared" si="38"/>
        <v>0</v>
      </c>
      <c r="L102" s="73">
        <f t="shared" si="39"/>
        <v>0</v>
      </c>
      <c r="M102" s="73">
        <f t="shared" si="40"/>
        <v>0</v>
      </c>
      <c r="N102" s="7" t="str">
        <f>IF(O102=""," ",VLOOKUP(O102,'[8]2012 личен състав ОТД'!$A:$AO,2,FALSE))</f>
        <v xml:space="preserve"> </v>
      </c>
      <c r="O102" s="3"/>
      <c r="P102" s="7" t="str">
        <f>IF(O102=""," ",VLOOKUP(O102,'[8]2012 личен състав ОТД'!$A:$AO,13,FALSE))</f>
        <v xml:space="preserve"> </v>
      </c>
      <c r="Q102" s="3" t="str">
        <f>IF(O102=""," ",VLOOKUP(O102,'[8]2012 личен състав ОТД'!$A:$AO,12,FALSE))</f>
        <v xml:space="preserve"> </v>
      </c>
      <c r="R102" s="57" t="str">
        <f>IF(A102=""," ",VLOOKUP(A102,'Профилиращ лист'!A:B,2,FALSE))</f>
        <v xml:space="preserve"> </v>
      </c>
      <c r="S102" s="57"/>
      <c r="T102" s="57"/>
      <c r="U102" s="57"/>
    </row>
    <row r="103" spans="1:21" ht="15" customHeight="1" x14ac:dyDescent="0.25">
      <c r="K103" s="73">
        <f t="shared" si="38"/>
        <v>0</v>
      </c>
      <c r="L103" s="73">
        <f t="shared" si="39"/>
        <v>0</v>
      </c>
      <c r="M103" s="73">
        <f t="shared" si="40"/>
        <v>0</v>
      </c>
      <c r="N103" s="7" t="str">
        <f>IF(O103=""," ",VLOOKUP(O103,'[8]2012 личен състав ОТД'!$A:$AO,2,FALSE))</f>
        <v xml:space="preserve"> </v>
      </c>
      <c r="O103" s="3"/>
      <c r="P103" s="7" t="str">
        <f>IF(O103=""," ",VLOOKUP(O103,'[8]2012 личен състав ОТД'!$A:$AO,13,FALSE))</f>
        <v xml:space="preserve"> </v>
      </c>
      <c r="Q103" s="3" t="str">
        <f>IF(O103=""," ",VLOOKUP(O103,'[8]2012 личен състав ОТД'!$A:$AO,12,FALSE))</f>
        <v xml:space="preserve"> </v>
      </c>
      <c r="R103" s="57" t="str">
        <f>IF(A103=""," ",VLOOKUP(A103,'Профилиращ лист'!A:B,2,FALSE))</f>
        <v xml:space="preserve"> </v>
      </c>
      <c r="S103" s="57"/>
      <c r="T103" s="57"/>
      <c r="U103" s="57"/>
    </row>
    <row r="104" spans="1:21" ht="15" customHeight="1" x14ac:dyDescent="0.25">
      <c r="K104" s="73">
        <f t="shared" si="38"/>
        <v>0</v>
      </c>
      <c r="L104" s="73">
        <f t="shared" si="39"/>
        <v>0</v>
      </c>
      <c r="M104" s="73">
        <f t="shared" si="40"/>
        <v>0</v>
      </c>
      <c r="N104" s="7" t="str">
        <f>IF(O104=""," ",VLOOKUP(O104,'[8]2012 личен състав ОТД'!$A:$AO,2,FALSE))</f>
        <v xml:space="preserve"> </v>
      </c>
      <c r="O104" s="3"/>
      <c r="P104" s="7" t="str">
        <f>IF(O104=""," ",VLOOKUP(O104,'[8]2012 личен състав ОТД'!$A:$AO,13,FALSE))</f>
        <v xml:space="preserve"> </v>
      </c>
      <c r="Q104" s="3" t="str">
        <f>IF(O104=""," ",VLOOKUP(O104,'[8]2012 личен състав ОТД'!$A:$AO,12,FALSE))</f>
        <v xml:space="preserve"> </v>
      </c>
      <c r="R104" s="57" t="str">
        <f>IF(A104=""," ",VLOOKUP(A104,'Профилиращ лист'!A:B,2,FALSE))</f>
        <v xml:space="preserve"> </v>
      </c>
      <c r="S104" s="57"/>
      <c r="T104" s="57"/>
      <c r="U104" s="57"/>
    </row>
    <row r="105" spans="1:21" ht="15" customHeight="1" x14ac:dyDescent="0.25">
      <c r="K105" s="73">
        <f t="shared" si="38"/>
        <v>0</v>
      </c>
      <c r="L105" s="73">
        <f t="shared" si="39"/>
        <v>0</v>
      </c>
      <c r="M105" s="73">
        <f t="shared" si="40"/>
        <v>0</v>
      </c>
      <c r="N105" s="7" t="str">
        <f>IF(O105=""," ",VLOOKUP(O105,'[8]2012 личен състав ОТД'!$A:$AO,2,FALSE))</f>
        <v xml:space="preserve"> </v>
      </c>
      <c r="O105" s="3"/>
      <c r="P105" s="7" t="str">
        <f>IF(O105=""," ",VLOOKUP(O105,'[8]2012 личен състав ОТД'!$A:$AO,13,FALSE))</f>
        <v xml:space="preserve"> </v>
      </c>
      <c r="Q105" s="3" t="str">
        <f>IF(O105=""," ",VLOOKUP(O105,'[8]2012 личен състав ОТД'!$A:$AO,12,FALSE))</f>
        <v xml:space="preserve"> </v>
      </c>
      <c r="R105" s="57" t="str">
        <f>IF(A105=""," ",VLOOKUP(A105,'Профилиращ лист'!A:B,2,FALSE))</f>
        <v xml:space="preserve"> </v>
      </c>
      <c r="S105" s="57"/>
      <c r="T105" s="57"/>
      <c r="U105" s="57"/>
    </row>
    <row r="106" spans="1:21" ht="15" customHeight="1" x14ac:dyDescent="0.25">
      <c r="K106" s="73">
        <f t="shared" si="38"/>
        <v>0</v>
      </c>
      <c r="L106" s="73">
        <f t="shared" si="39"/>
        <v>0</v>
      </c>
      <c r="M106" s="73">
        <f t="shared" si="40"/>
        <v>0</v>
      </c>
      <c r="N106" s="7" t="str">
        <f>IF(O106=""," ",VLOOKUP(O106,'[8]2012 личен състав ОТД'!$A:$AO,2,FALSE))</f>
        <v xml:space="preserve"> </v>
      </c>
      <c r="O106" s="3"/>
      <c r="P106" s="7" t="str">
        <f>IF(O106=""," ",VLOOKUP(O106,'[8]2012 личен състав ОТД'!$A:$AO,13,FALSE))</f>
        <v xml:space="preserve"> </v>
      </c>
      <c r="Q106" s="3" t="str">
        <f>IF(O106=""," ",VLOOKUP(O106,'[8]2012 личен състав ОТД'!$A:$AO,12,FALSE))</f>
        <v xml:space="preserve"> </v>
      </c>
      <c r="R106" s="57" t="str">
        <f>IF(A106=""," ",VLOOKUP(A106,'Профилиращ лист'!A:B,2,FALSE))</f>
        <v xml:space="preserve"> </v>
      </c>
      <c r="S106" s="57"/>
      <c r="T106" s="57"/>
      <c r="U106" s="57"/>
    </row>
    <row r="107" spans="1:21" ht="15" customHeight="1" x14ac:dyDescent="0.25">
      <c r="K107" s="73">
        <f t="shared" si="38"/>
        <v>0</v>
      </c>
      <c r="L107" s="73">
        <f t="shared" si="39"/>
        <v>0</v>
      </c>
      <c r="M107" s="73">
        <f t="shared" si="40"/>
        <v>0</v>
      </c>
      <c r="N107" s="7" t="str">
        <f>IF(O107=""," ",VLOOKUP(O107,'[8]2012 личен състав ОТД'!$A:$AO,2,FALSE))</f>
        <v xml:space="preserve"> </v>
      </c>
      <c r="O107" s="3"/>
      <c r="P107" s="7" t="str">
        <f>IF(O107=""," ",VLOOKUP(O107,'[8]2012 личен състав ОТД'!$A:$AO,13,FALSE))</f>
        <v xml:space="preserve"> </v>
      </c>
      <c r="Q107" s="3" t="str">
        <f>IF(O107=""," ",VLOOKUP(O107,'[8]2012 личен състав ОТД'!$A:$AO,12,FALSE))</f>
        <v xml:space="preserve"> </v>
      </c>
      <c r="R107" s="57" t="str">
        <f>IF(A107=""," ",VLOOKUP(A107,'Профилиращ лист'!A:B,2,FALSE))</f>
        <v xml:space="preserve"> </v>
      </c>
      <c r="S107" s="57"/>
      <c r="T107" s="57"/>
      <c r="U107" s="57"/>
    </row>
    <row r="108" spans="1:21" ht="15" customHeight="1" x14ac:dyDescent="0.25">
      <c r="K108" s="73">
        <f t="shared" si="38"/>
        <v>0</v>
      </c>
      <c r="L108" s="73">
        <f t="shared" si="39"/>
        <v>0</v>
      </c>
      <c r="M108" s="73">
        <f t="shared" si="40"/>
        <v>0</v>
      </c>
      <c r="N108" s="7" t="str">
        <f>IF(O108=""," ",VLOOKUP(O108,'[8]2012 личен състав ОТД'!$A:$AO,2,FALSE))</f>
        <v xml:space="preserve"> </v>
      </c>
      <c r="O108" s="3"/>
      <c r="P108" s="7" t="str">
        <f>IF(O108=""," ",VLOOKUP(O108,'[8]2012 личен състав ОТД'!$A:$AO,13,FALSE))</f>
        <v xml:space="preserve"> </v>
      </c>
      <c r="Q108" s="3" t="str">
        <f>IF(O108=""," ",VLOOKUP(O108,'[8]2012 личен състав ОТД'!$A:$AO,12,FALSE))</f>
        <v xml:space="preserve"> </v>
      </c>
      <c r="R108" s="57" t="str">
        <f>IF(A108=""," ",VLOOKUP(A108,'Профилиращ лист'!A:B,2,FALSE))</f>
        <v xml:space="preserve"> </v>
      </c>
      <c r="S108" s="57"/>
      <c r="T108" s="57"/>
      <c r="U108" s="57"/>
    </row>
  </sheetData>
  <autoFilter ref="A1:R108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2" fitToHeight="2" orientation="portrait" r:id="rId1"/>
  <headerFooter alignWithMargins="0">
    <oddHeader>&amp;LРедовно обучение,
бакалавърска степен&amp;C&amp;14УЧЕБЕН ПЛАН: &amp;A</oddHead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6" tint="-0.249977111117893"/>
  </sheetPr>
  <dimension ref="A1:GG109"/>
  <sheetViews>
    <sheetView zoomScale="70" zoomScaleNormal="70" zoomScaleSheetLayoutView="140" workbookViewId="0">
      <pane xSplit="2" ySplit="1" topLeftCell="C2" activePane="bottomRight" state="frozen"/>
      <selection activeCell="T1" sqref="T1:T97"/>
      <selection pane="topRight" activeCell="T1" sqref="T1:T97"/>
      <selection pane="bottomLeft" activeCell="T1" sqref="T1:T97"/>
      <selection pane="bottomRight" activeCell="T1" sqref="T1:T97"/>
    </sheetView>
  </sheetViews>
  <sheetFormatPr defaultRowHeight="15" x14ac:dyDescent="0.25"/>
  <cols>
    <col min="1" max="1" width="59" style="67" customWidth="1"/>
    <col min="2" max="2" width="3.7109375" style="8" hidden="1" customWidth="1"/>
    <col min="3" max="8" width="4.7109375" style="4" hidden="1" customWidth="1"/>
    <col min="9" max="9" width="3.7109375" style="5" hidden="1" customWidth="1"/>
    <col min="10" max="10" width="6.85546875" style="10" hidden="1" customWidth="1"/>
    <col min="11" max="13" width="5.85546875" style="73" hidden="1" customWidth="1"/>
    <col min="14" max="14" width="32.7109375" style="7" hidden="1" customWidth="1"/>
    <col min="15" max="15" width="13.28515625" style="7" hidden="1" customWidth="1"/>
    <col min="16" max="16" width="10.7109375" style="7" hidden="1" customWidth="1"/>
    <col min="17" max="17" width="8" style="7" hidden="1" customWidth="1"/>
    <col min="18" max="18" width="7.5703125" style="7" customWidth="1"/>
    <col min="19" max="20" width="14" style="7" customWidth="1"/>
    <col min="21" max="21" width="11.85546875" style="7" customWidth="1"/>
    <col min="22" max="16384" width="9.140625" style="7"/>
  </cols>
  <sheetData>
    <row r="1" spans="1:31" s="3" customFormat="1" x14ac:dyDescent="0.25">
      <c r="A1" s="69" t="s">
        <v>81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" t="s">
        <v>578</v>
      </c>
      <c r="T1" s="1" t="s">
        <v>629</v>
      </c>
      <c r="U1" s="111" t="s">
        <v>577</v>
      </c>
      <c r="V1" s="3" t="s">
        <v>255</v>
      </c>
      <c r="W1" s="3" t="s">
        <v>265</v>
      </c>
      <c r="X1" s="3" t="s">
        <v>253</v>
      </c>
      <c r="Y1" s="3" t="s">
        <v>263</v>
      </c>
      <c r="Z1" s="3" t="s">
        <v>272</v>
      </c>
      <c r="AA1" s="3" t="s">
        <v>406</v>
      </c>
      <c r="AB1" s="3" t="s">
        <v>573</v>
      </c>
      <c r="AC1" s="3" t="s">
        <v>607</v>
      </c>
      <c r="AD1" s="7" t="s">
        <v>575</v>
      </c>
      <c r="AE1" s="7" t="s">
        <v>576</v>
      </c>
    </row>
    <row r="2" spans="1:31" x14ac:dyDescent="0.25">
      <c r="A2" s="69" t="s">
        <v>10</v>
      </c>
      <c r="B2" s="1"/>
      <c r="I2" s="13"/>
      <c r="J2" s="6">
        <v>1</v>
      </c>
      <c r="L2" s="73">
        <v>1</v>
      </c>
      <c r="O2" s="3">
        <f ca="1">YEAR(TODAY())</f>
        <v>2013</v>
      </c>
      <c r="P2" s="3">
        <f ca="1">O2-(AVERAGEIFS(P:P,L:L,"&gt;0",Q:Q,"ОТД"))</f>
        <v>55.870967741935374</v>
      </c>
      <c r="T2" s="7">
        <f ca="1">YEAR(TODAY())</f>
        <v>2013</v>
      </c>
      <c r="V2" s="7">
        <f ca="1">COUNTIFS(P:P,"&gt;1900",R:R,"СПЕ")</f>
        <v>21</v>
      </c>
      <c r="W2" s="7">
        <f ca="1">COUNTIFS(P:P,"&gt;1900",R:R,"ОФД")</f>
        <v>7</v>
      </c>
      <c r="X2" s="7">
        <f ca="1">COUNTIFS(P:P,"&gt;1900",R:R,"ПЕД")</f>
        <v>5</v>
      </c>
      <c r="Y2" s="7">
        <f>COUNTIF(R:R,"ПРА")</f>
        <v>0</v>
      </c>
      <c r="Z2" s="7">
        <f>COUNTIF(R:R,"ИЗБ")</f>
        <v>4</v>
      </c>
      <c r="AA2" s="7">
        <f>COUNTIF(R:R,"ФД")</f>
        <v>0</v>
      </c>
      <c r="AB2" s="7">
        <f ca="1">SUBTOTAL(9,V2:AA2)</f>
        <v>37</v>
      </c>
      <c r="AC2" s="7">
        <f ca="1">V2/AB2</f>
        <v>0.56756756756756754</v>
      </c>
      <c r="AD2" s="7">
        <f>(COUNTIFS(N:N,"проф.*",Q:Q,"ОТД")+COUNTIFS(N:N,"доц.*",Q:Q,"ОТД"))/COUNTIF(Q:Q,"ОТД")</f>
        <v>0.90322580645161288</v>
      </c>
      <c r="AE2" s="7">
        <f ca="1">COUNTIF(S:S,"У")/V2</f>
        <v>0</v>
      </c>
    </row>
    <row r="3" spans="1:31" x14ac:dyDescent="0.25">
      <c r="A3" s="67" t="s">
        <v>11</v>
      </c>
      <c r="B3" s="4">
        <v>30</v>
      </c>
      <c r="C3" s="4">
        <v>30</v>
      </c>
      <c r="D3" s="4">
        <v>30</v>
      </c>
      <c r="E3" s="4">
        <v>0</v>
      </c>
      <c r="F3" s="4">
        <v>0</v>
      </c>
      <c r="G3" s="4">
        <f>H3-C3</f>
        <v>30</v>
      </c>
      <c r="H3" s="4">
        <f t="shared" ref="H3:H11" si="0">I3*30</f>
        <v>60</v>
      </c>
      <c r="I3" s="4">
        <v>2</v>
      </c>
      <c r="J3" s="4" t="s">
        <v>12</v>
      </c>
      <c r="K3" s="73">
        <f>SUMIF(A:A,A3,C:C)</f>
        <v>30</v>
      </c>
      <c r="L3" s="73">
        <f>SUMIF(A:A,A3,D:D)</f>
        <v>30</v>
      </c>
      <c r="M3" s="73">
        <f>SUMIF(A:A,A3,E:E)+SUMIF(A:A,A3,F:F)</f>
        <v>0</v>
      </c>
      <c r="N3" s="7" t="str">
        <f>IF(O3=""," ",VLOOKUP(O3,'[8]2012 личен състав ОТД'!$A:$AO,2,FALSE))</f>
        <v>доц. д-р Красимира Кръстанова</v>
      </c>
      <c r="O3" s="3" t="str">
        <f>IF(A3=""," ",VLOOKUP(A3,'Български и испански език'!A:O,15,FALSE))</f>
        <v>кръстанова</v>
      </c>
      <c r="P3" s="7">
        <f>IF(O3=""," ",VLOOKUP(O3,'[8]2012 личен състав ОТД'!$A:$AO,13,FALSE))</f>
        <v>1958</v>
      </c>
      <c r="Q3" s="7" t="str">
        <f>IF(O3=""," ",VLOOKUP(O3,'[8]2012 личен състав ОТД'!$A:$AO,12,FALSE))</f>
        <v>ОТД</v>
      </c>
      <c r="R3" s="7" t="str">
        <f>IF(A3=""," ",VLOOKUP(A3,'Профилиращ лист'!A:B,2,FALSE))</f>
        <v>СПЕ</v>
      </c>
      <c r="T3" s="7">
        <f t="shared" ref="T3:T34" ca="1" si="1">Години-P3</f>
        <v>55</v>
      </c>
    </row>
    <row r="4" spans="1:31" ht="18" hidden="1" customHeight="1" x14ac:dyDescent="0.25">
      <c r="A4" s="8" t="s">
        <v>13</v>
      </c>
      <c r="B4" s="4">
        <v>45</v>
      </c>
      <c r="C4" s="4">
        <v>45</v>
      </c>
      <c r="D4" s="4">
        <v>15</v>
      </c>
      <c r="E4" s="4">
        <v>30</v>
      </c>
      <c r="F4" s="4">
        <v>0</v>
      </c>
      <c r="G4" s="4">
        <f t="shared" ref="G4:G11" si="2">H4-C4</f>
        <v>45</v>
      </c>
      <c r="H4" s="4">
        <f t="shared" si="0"/>
        <v>90</v>
      </c>
      <c r="I4" s="4">
        <v>3</v>
      </c>
      <c r="J4" s="4" t="s">
        <v>14</v>
      </c>
      <c r="K4" s="73">
        <f t="shared" ref="K4:K67" si="3">SUMIF(A:A,A4,C:C)</f>
        <v>90</v>
      </c>
      <c r="L4" s="73">
        <f t="shared" ref="L4:L67" si="4">SUMIF(A:A,A4,D:D)</f>
        <v>30</v>
      </c>
      <c r="M4" s="73">
        <f t="shared" ref="M4:M67" si="5">SUMIF(A:A,A4,E:E)+SUMIF(A:A,A4,F:F)</f>
        <v>60</v>
      </c>
      <c r="N4" s="7" t="str">
        <f>IF(O4=""," ",VLOOKUP(O4,'[8]2012 личен състав ОТД'!$A:$AO,2,FALSE))</f>
        <v xml:space="preserve"> </v>
      </c>
      <c r="O4" s="3"/>
      <c r="P4" s="7" t="str">
        <f>IF(O4=""," ",VLOOKUP(O4,'[8]2012 личен състав ОТД'!$A:$AO,13,FALSE))</f>
        <v xml:space="preserve"> </v>
      </c>
      <c r="Q4" s="7" t="str">
        <f>IF(O4=""," ",VLOOKUP(O4,'[8]2012 личен състав ОТД'!$A:$AO,12,FALSE))</f>
        <v xml:space="preserve"> </v>
      </c>
      <c r="R4" s="7" t="str">
        <f>IF(A4=""," ",VLOOKUP(A4,'Профилиращ лист'!A:B,2,FALSE))</f>
        <v>ОФД</v>
      </c>
      <c r="T4" s="7" t="e">
        <f t="shared" ca="1" si="1"/>
        <v>#VALUE!</v>
      </c>
      <c r="V4" s="7">
        <f>COUNTIF(N:N,"проф.*")</f>
        <v>11</v>
      </c>
      <c r="W4" s="7">
        <f>COUNTIF(N:N,"доц.*")</f>
        <v>21</v>
      </c>
      <c r="X4" s="7">
        <f>COUNTIF(N:N,"*ас. д-р*")</f>
        <v>2</v>
      </c>
      <c r="Y4" s="7">
        <f>COUNTIF(N:N,"гл. ас.*")-X4</f>
        <v>1</v>
      </c>
      <c r="Z4" s="7">
        <f>COUNTIF(N:N,"ас.*")</f>
        <v>1</v>
      </c>
      <c r="AA4" s="7">
        <f>SUM(V4:Z4)</f>
        <v>36</v>
      </c>
    </row>
    <row r="5" spans="1:31" ht="18" hidden="1" customHeight="1" x14ac:dyDescent="0.25">
      <c r="A5" s="8" t="s">
        <v>157</v>
      </c>
      <c r="B5" s="4">
        <v>90</v>
      </c>
      <c r="C5" s="4">
        <v>90</v>
      </c>
      <c r="D5" s="4">
        <v>0</v>
      </c>
      <c r="E5" s="4">
        <v>0</v>
      </c>
      <c r="F5" s="4">
        <v>90</v>
      </c>
      <c r="G5" s="4">
        <f t="shared" si="2"/>
        <v>120</v>
      </c>
      <c r="H5" s="4">
        <f t="shared" si="0"/>
        <v>210</v>
      </c>
      <c r="I5" s="4">
        <v>7</v>
      </c>
      <c r="J5" s="4" t="s">
        <v>14</v>
      </c>
      <c r="K5" s="73">
        <f t="shared" si="3"/>
        <v>90</v>
      </c>
      <c r="L5" s="73">
        <f t="shared" si="4"/>
        <v>0</v>
      </c>
      <c r="M5" s="73">
        <f t="shared" si="5"/>
        <v>90</v>
      </c>
      <c r="N5" s="7" t="str">
        <f>IF(O5=""," ",VLOOKUP(O5,'[8]2012 личен състав ОТД'!$A:$AO,2,FALSE))</f>
        <v xml:space="preserve"> </v>
      </c>
      <c r="O5" s="3"/>
      <c r="P5" s="7" t="str">
        <f>IF(O5=""," ",VLOOKUP(O5,'[8]2012 личен състав ОТД'!$A:$AO,13,FALSE))</f>
        <v xml:space="preserve"> </v>
      </c>
      <c r="Q5" s="7" t="str">
        <f>IF(O5=""," ",VLOOKUP(O5,'[8]2012 личен състав ОТД'!$A:$AO,12,FALSE))</f>
        <v xml:space="preserve"> </v>
      </c>
      <c r="R5" s="7" t="e">
        <f>IF(A5=""," ",VLOOKUP(A5,'Профилиращ лист'!A:B,2,FALSE))</f>
        <v>#N/A</v>
      </c>
      <c r="T5" s="7" t="e">
        <f t="shared" ca="1" si="1"/>
        <v>#VALUE!</v>
      </c>
    </row>
    <row r="6" spans="1:31" ht="18" hidden="1" customHeight="1" x14ac:dyDescent="0.25">
      <c r="A6" s="8" t="s">
        <v>158</v>
      </c>
      <c r="B6" s="4">
        <v>15</v>
      </c>
      <c r="C6" s="4">
        <v>30</v>
      </c>
      <c r="D6" s="4">
        <v>30</v>
      </c>
      <c r="E6" s="4">
        <v>0</v>
      </c>
      <c r="F6" s="4">
        <v>0</v>
      </c>
      <c r="G6" s="4">
        <f t="shared" si="2"/>
        <v>60</v>
      </c>
      <c r="H6" s="4">
        <f t="shared" si="0"/>
        <v>90</v>
      </c>
      <c r="I6" s="4">
        <v>3</v>
      </c>
      <c r="J6" s="4" t="s">
        <v>14</v>
      </c>
      <c r="K6" s="73">
        <f t="shared" si="3"/>
        <v>60</v>
      </c>
      <c r="L6" s="73">
        <f t="shared" si="4"/>
        <v>60</v>
      </c>
      <c r="M6" s="73">
        <f t="shared" si="5"/>
        <v>0</v>
      </c>
      <c r="N6" s="7" t="str">
        <f>IF(O6=""," ",VLOOKUP(O6,'[8]2012 личен състав ОТД'!$A:$AO,2,FALSE))</f>
        <v xml:space="preserve"> </v>
      </c>
      <c r="O6" s="3"/>
      <c r="P6" s="7" t="str">
        <f>IF(O6=""," ",VLOOKUP(O6,'[8]2012 личен състав ОТД'!$A:$AO,13,FALSE))</f>
        <v xml:space="preserve"> </v>
      </c>
      <c r="Q6" s="7" t="str">
        <f>IF(O6=""," ",VLOOKUP(O6,'[8]2012 личен състав ОТД'!$A:$AO,12,FALSE))</f>
        <v xml:space="preserve"> </v>
      </c>
      <c r="R6" s="7" t="e">
        <f>IF(A6=""," ",VLOOKUP(A6,'Профилиращ лист'!A:B,2,FALSE))</f>
        <v>#N/A</v>
      </c>
      <c r="T6" s="7" t="e">
        <f t="shared" ca="1" si="1"/>
        <v>#VALUE!</v>
      </c>
    </row>
    <row r="7" spans="1:31" ht="14.1" hidden="1" customHeight="1" x14ac:dyDescent="0.25">
      <c r="A7" s="8" t="s">
        <v>159</v>
      </c>
      <c r="B7" s="4">
        <v>15</v>
      </c>
      <c r="C7" s="4">
        <v>30</v>
      </c>
      <c r="D7" s="4">
        <v>0</v>
      </c>
      <c r="E7" s="4">
        <v>30</v>
      </c>
      <c r="F7" s="4">
        <v>0</v>
      </c>
      <c r="G7" s="4">
        <f t="shared" si="2"/>
        <v>60</v>
      </c>
      <c r="H7" s="4">
        <f t="shared" si="0"/>
        <v>90</v>
      </c>
      <c r="I7" s="4">
        <v>3</v>
      </c>
      <c r="J7" s="4" t="s">
        <v>18</v>
      </c>
      <c r="K7" s="73">
        <f t="shared" si="3"/>
        <v>30</v>
      </c>
      <c r="L7" s="73">
        <f t="shared" si="4"/>
        <v>0</v>
      </c>
      <c r="M7" s="73">
        <f t="shared" si="5"/>
        <v>30</v>
      </c>
      <c r="N7" s="7" t="str">
        <f>IF(O7=""," ",VLOOKUP(O7,'[8]2012 личен състав ОТД'!$A:$AO,2,FALSE))</f>
        <v xml:space="preserve"> </v>
      </c>
      <c r="O7" s="3"/>
      <c r="P7" s="7" t="str">
        <f>IF(O7=""," ",VLOOKUP(O7,'[8]2012 личен състав ОТД'!$A:$AO,13,FALSE))</f>
        <v xml:space="preserve"> </v>
      </c>
      <c r="Q7" s="7" t="str">
        <f>IF(O7=""," ",VLOOKUP(O7,'[8]2012 личен състав ОТД'!$A:$AO,12,FALSE))</f>
        <v xml:space="preserve"> </v>
      </c>
      <c r="R7" s="7" t="str">
        <f>IF(A7=""," ",VLOOKUP(A7,'Профилиращ лист'!A:B,2,FALSE))</f>
        <v>ИЗБ</v>
      </c>
      <c r="T7" s="7" t="e">
        <f t="shared" ca="1" si="1"/>
        <v>#VALUE!</v>
      </c>
    </row>
    <row r="8" spans="1:31" ht="18" hidden="1" customHeight="1" x14ac:dyDescent="0.25">
      <c r="A8" s="8" t="s">
        <v>160</v>
      </c>
      <c r="B8" s="4">
        <v>15</v>
      </c>
      <c r="C8" s="4">
        <v>30</v>
      </c>
      <c r="D8" s="4">
        <v>0</v>
      </c>
      <c r="E8" s="4">
        <v>0</v>
      </c>
      <c r="F8" s="4">
        <v>30</v>
      </c>
      <c r="G8" s="4">
        <f t="shared" si="2"/>
        <v>30</v>
      </c>
      <c r="H8" s="4">
        <f t="shared" si="0"/>
        <v>60</v>
      </c>
      <c r="I8" s="4">
        <v>2</v>
      </c>
      <c r="J8" s="4" t="s">
        <v>18</v>
      </c>
      <c r="K8" s="73">
        <f t="shared" si="3"/>
        <v>30</v>
      </c>
      <c r="L8" s="73">
        <f t="shared" si="4"/>
        <v>0</v>
      </c>
      <c r="M8" s="73">
        <f t="shared" si="5"/>
        <v>30</v>
      </c>
      <c r="N8" s="7" t="str">
        <f>IF(O8=""," ",VLOOKUP(O8,'[8]2012 личен състав ОТД'!$A:$AO,2,FALSE))</f>
        <v xml:space="preserve"> </v>
      </c>
      <c r="O8" s="3"/>
      <c r="P8" s="7" t="str">
        <f>IF(O8=""," ",VLOOKUP(O8,'[8]2012 личен състав ОТД'!$A:$AO,13,FALSE))</f>
        <v xml:space="preserve"> </v>
      </c>
      <c r="Q8" s="7" t="str">
        <f>IF(O8=""," ",VLOOKUP(O8,'[8]2012 личен състав ОТД'!$A:$AO,12,FALSE))</f>
        <v xml:space="preserve"> </v>
      </c>
      <c r="R8" s="7" t="e">
        <f>IF(A8=""," ",VLOOKUP(A8,'Профилиращ лист'!A:B,2,FALSE))</f>
        <v>#N/A</v>
      </c>
      <c r="T8" s="7" t="e">
        <f t="shared" ca="1" si="1"/>
        <v>#VALUE!</v>
      </c>
    </row>
    <row r="9" spans="1:31" ht="18" hidden="1" customHeight="1" x14ac:dyDescent="0.25">
      <c r="A9" s="8" t="s">
        <v>28</v>
      </c>
      <c r="B9" s="4">
        <v>15</v>
      </c>
      <c r="C9" s="4">
        <v>15</v>
      </c>
      <c r="D9" s="4">
        <v>0</v>
      </c>
      <c r="E9" s="4">
        <v>0</v>
      </c>
      <c r="F9" s="4">
        <v>15</v>
      </c>
      <c r="G9" s="4">
        <f t="shared" si="2"/>
        <v>45</v>
      </c>
      <c r="H9" s="4">
        <f t="shared" si="0"/>
        <v>60</v>
      </c>
      <c r="I9" s="4">
        <v>2</v>
      </c>
      <c r="J9" s="4" t="s">
        <v>18</v>
      </c>
      <c r="K9" s="73">
        <f t="shared" si="3"/>
        <v>15</v>
      </c>
      <c r="L9" s="73">
        <f t="shared" si="4"/>
        <v>0</v>
      </c>
      <c r="M9" s="73">
        <f t="shared" si="5"/>
        <v>15</v>
      </c>
      <c r="N9" s="7" t="str">
        <f>IF(O9=""," ",VLOOKUP(O9,'[8]2012 личен състав ОТД'!$A:$AO,2,FALSE))</f>
        <v xml:space="preserve"> </v>
      </c>
      <c r="O9" s="3"/>
      <c r="P9" s="7" t="str">
        <f>IF(O9=""," ",VLOOKUP(O9,'[8]2012 личен състав ОТД'!$A:$AO,13,FALSE))</f>
        <v xml:space="preserve"> </v>
      </c>
      <c r="Q9" s="7" t="str">
        <f>IF(O9=""," ",VLOOKUP(O9,'[8]2012 личен състав ОТД'!$A:$AO,12,FALSE))</f>
        <v xml:space="preserve"> </v>
      </c>
      <c r="R9" s="7" t="str">
        <f>IF(A9=""," ",VLOOKUP(A9,'Профилиращ лист'!A:B,2,FALSE))</f>
        <v>ПЕД</v>
      </c>
      <c r="T9" s="7" t="e">
        <f t="shared" ca="1" si="1"/>
        <v>#VALUE!</v>
      </c>
    </row>
    <row r="10" spans="1:31" x14ac:dyDescent="0.25">
      <c r="A10" s="67" t="s">
        <v>19</v>
      </c>
      <c r="B10" s="4">
        <v>45</v>
      </c>
      <c r="C10" s="4">
        <v>60</v>
      </c>
      <c r="D10" s="4">
        <v>45</v>
      </c>
      <c r="E10" s="4">
        <v>15</v>
      </c>
      <c r="F10" s="4">
        <v>0</v>
      </c>
      <c r="G10" s="4">
        <f t="shared" si="2"/>
        <v>60</v>
      </c>
      <c r="H10" s="4">
        <f t="shared" si="0"/>
        <v>120</v>
      </c>
      <c r="I10" s="4">
        <v>4</v>
      </c>
      <c r="J10" s="4" t="s">
        <v>12</v>
      </c>
      <c r="K10" s="73">
        <f t="shared" si="3"/>
        <v>60</v>
      </c>
      <c r="L10" s="73">
        <f t="shared" si="4"/>
        <v>45</v>
      </c>
      <c r="M10" s="73">
        <f t="shared" si="5"/>
        <v>15</v>
      </c>
      <c r="N10" s="7" t="str">
        <f>IF(O10=""," ",VLOOKUP(O10,'[8]2012 личен състав ОТД'!$A:$AO,2,FALSE))</f>
        <v>доц. д-р Атанас Бучков</v>
      </c>
      <c r="O10" s="3" t="str">
        <f>IF(A10=""," ",VLOOKUP(A10,'Български и испански език'!A:O,15,FALSE))</f>
        <v>бучков</v>
      </c>
      <c r="P10" s="7">
        <f>IF(O10=""," ",VLOOKUP(O10,'[8]2012 личен състав ОТД'!$A:$AO,13,FALSE))</f>
        <v>1949</v>
      </c>
      <c r="Q10" s="7" t="str">
        <f>IF(O10=""," ",VLOOKUP(O10,'[8]2012 личен състав ОТД'!$A:$AO,12,FALSE))</f>
        <v>ОТД</v>
      </c>
      <c r="R10" s="7" t="str">
        <f>IF(A10=""," ",VLOOKUP(A10,'Профилиращ лист'!A:B,2,FALSE))</f>
        <v>ОФД</v>
      </c>
      <c r="T10" s="7">
        <f t="shared" ca="1" si="1"/>
        <v>64</v>
      </c>
    </row>
    <row r="11" spans="1:31" x14ac:dyDescent="0.25">
      <c r="A11" s="67" t="s">
        <v>20</v>
      </c>
      <c r="B11" s="4">
        <v>45</v>
      </c>
      <c r="C11" s="4">
        <v>60</v>
      </c>
      <c r="D11" s="4">
        <v>45</v>
      </c>
      <c r="E11" s="4">
        <v>15</v>
      </c>
      <c r="F11" s="4">
        <v>0</v>
      </c>
      <c r="G11" s="4">
        <f t="shared" si="2"/>
        <v>60</v>
      </c>
      <c r="H11" s="4">
        <f t="shared" si="0"/>
        <v>120</v>
      </c>
      <c r="I11" s="4">
        <v>4</v>
      </c>
      <c r="J11" s="4" t="s">
        <v>12</v>
      </c>
      <c r="K11" s="73">
        <f t="shared" si="3"/>
        <v>60</v>
      </c>
      <c r="L11" s="73">
        <f t="shared" si="4"/>
        <v>45</v>
      </c>
      <c r="M11" s="73">
        <f t="shared" si="5"/>
        <v>15</v>
      </c>
      <c r="N11" s="7" t="str">
        <f>IF(O11=""," ",VLOOKUP(O11,'[8]2012 личен състав ОТД'!$A:$AO,2,FALSE))</f>
        <v>доц. д-р Иван Чобанов</v>
      </c>
      <c r="O11" s="3" t="str">
        <f>IF(A11=""," ",VLOOKUP(A11,'Български и испански език'!A:O,15,FALSE))</f>
        <v>чобанов</v>
      </c>
      <c r="P11" s="7">
        <f>IF(O11=""," ",VLOOKUP(O11,'[8]2012 личен състав ОТД'!$A:$AO,13,FALSE))</f>
        <v>1949</v>
      </c>
      <c r="Q11" s="7" t="str">
        <f>IF(O11=""," ",VLOOKUP(O11,'[8]2012 личен състав ОТД'!$A:$AO,12,FALSE))</f>
        <v>ОТД</v>
      </c>
      <c r="R11" s="7" t="str">
        <f>IF(A11=""," ",VLOOKUP(A11,'Профилиращ лист'!A:B,2,FALSE))</f>
        <v>ОФД</v>
      </c>
      <c r="T11" s="7">
        <f t="shared" ca="1" si="1"/>
        <v>64</v>
      </c>
    </row>
    <row r="12" spans="1:31" ht="18" hidden="1" customHeight="1" x14ac:dyDescent="0.25">
      <c r="A12" s="8"/>
      <c r="B12" s="11">
        <f t="shared" ref="B12:I12" si="6">SUM(B3:B11)</f>
        <v>315</v>
      </c>
      <c r="C12" s="11">
        <f t="shared" si="6"/>
        <v>390</v>
      </c>
      <c r="D12" s="11">
        <f t="shared" si="6"/>
        <v>165</v>
      </c>
      <c r="E12" s="11">
        <f t="shared" si="6"/>
        <v>90</v>
      </c>
      <c r="F12" s="11">
        <f t="shared" si="6"/>
        <v>135</v>
      </c>
      <c r="G12" s="11">
        <f t="shared" si="6"/>
        <v>510</v>
      </c>
      <c r="H12" s="11">
        <f t="shared" si="6"/>
        <v>900</v>
      </c>
      <c r="I12" s="11">
        <f t="shared" si="6"/>
        <v>30</v>
      </c>
      <c r="J12" s="6"/>
      <c r="K12" s="73">
        <f t="shared" si="3"/>
        <v>0</v>
      </c>
      <c r="L12" s="73">
        <f t="shared" si="4"/>
        <v>0</v>
      </c>
      <c r="M12" s="73">
        <f t="shared" si="5"/>
        <v>0</v>
      </c>
      <c r="N12" s="7" t="str">
        <f>IF(O12=""," ",VLOOKUP(O12,'[8]2012 личен състав ОТД'!$A:$AO,2,FALSE))</f>
        <v xml:space="preserve"> </v>
      </c>
      <c r="O12" s="3"/>
      <c r="P12" s="7" t="str">
        <f>IF(O12=""," ",VLOOKUP(O12,'[8]2012 личен състав ОТД'!$A:$AO,13,FALSE))</f>
        <v xml:space="preserve"> </v>
      </c>
      <c r="Q12" s="7" t="str">
        <f>IF(O12=""," ",VLOOKUP(O12,'[8]2012 личен състав ОТД'!$A:$AO,12,FALSE))</f>
        <v xml:space="preserve"> </v>
      </c>
      <c r="R12" s="7" t="str">
        <f>IF(A12=""," ",VLOOKUP(A12,'Профилиращ лист'!A:B,2,FALSE))</f>
        <v xml:space="preserve"> </v>
      </c>
      <c r="T12" s="7" t="e">
        <f t="shared" ca="1" si="1"/>
        <v>#VALUE!</v>
      </c>
    </row>
    <row r="13" spans="1:31" ht="18" hidden="1" customHeight="1" x14ac:dyDescent="0.25">
      <c r="A13" s="1" t="s">
        <v>22</v>
      </c>
      <c r="B13" s="1"/>
      <c r="I13" s="13"/>
      <c r="J13" s="14"/>
      <c r="K13" s="73">
        <f t="shared" si="3"/>
        <v>0</v>
      </c>
      <c r="L13" s="73">
        <f t="shared" si="4"/>
        <v>0</v>
      </c>
      <c r="M13" s="73">
        <f t="shared" si="5"/>
        <v>0</v>
      </c>
      <c r="N13" s="7" t="str">
        <f>IF(O13=""," ",VLOOKUP(O13,'[8]2012 личен състав ОТД'!$A:$AO,2,FALSE))</f>
        <v xml:space="preserve"> </v>
      </c>
      <c r="O13" s="3"/>
      <c r="P13" s="7" t="str">
        <f>IF(O13=""," ",VLOOKUP(O13,'[8]2012 личен състав ОТД'!$A:$AO,13,FALSE))</f>
        <v xml:space="preserve"> </v>
      </c>
      <c r="Q13" s="7" t="str">
        <f>IF(O13=""," ",VLOOKUP(O13,'[8]2012 личен състав ОТД'!$A:$AO,12,FALSE))</f>
        <v xml:space="preserve"> </v>
      </c>
      <c r="R13" s="7" t="e">
        <f>IF(A13=""," ",VLOOKUP(A13,'Профилиращ лист'!A:B,2,FALSE))</f>
        <v>#N/A</v>
      </c>
      <c r="T13" s="7" t="e">
        <f t="shared" ca="1" si="1"/>
        <v>#VALUE!</v>
      </c>
    </row>
    <row r="14" spans="1:31" x14ac:dyDescent="0.25">
      <c r="A14" s="67" t="s">
        <v>23</v>
      </c>
      <c r="B14" s="4">
        <v>45</v>
      </c>
      <c r="C14" s="4">
        <v>60</v>
      </c>
      <c r="D14" s="4">
        <v>45</v>
      </c>
      <c r="E14" s="4">
        <v>15</v>
      </c>
      <c r="F14" s="4">
        <v>0</v>
      </c>
      <c r="G14" s="4">
        <f>H14-C14</f>
        <v>90</v>
      </c>
      <c r="H14" s="4">
        <f t="shared" ref="H14:H20" si="7">I14*30</f>
        <v>150</v>
      </c>
      <c r="I14" s="4">
        <v>5</v>
      </c>
      <c r="J14" s="4" t="s">
        <v>12</v>
      </c>
      <c r="K14" s="73">
        <f t="shared" si="3"/>
        <v>60</v>
      </c>
      <c r="L14" s="73">
        <f t="shared" si="4"/>
        <v>45</v>
      </c>
      <c r="M14" s="73">
        <f t="shared" si="5"/>
        <v>15</v>
      </c>
      <c r="N14" s="7" t="str">
        <f>IF(O14=""," ",VLOOKUP(O14,'[8]2012 личен състав ОТД'!$A:$AO,2,FALSE))</f>
        <v>доц. д-р Мария Йовчева</v>
      </c>
      <c r="O14" s="3" t="str">
        <f>IF(A14=""," ",VLOOKUP(A14,'Български и испански език'!A:O,15,FALSE))</f>
        <v>йовчева</v>
      </c>
      <c r="P14" s="7">
        <f>IF(O14=""," ",VLOOKUP(O14,'[8]2012 личен състав ОТД'!$A:$AO,13,FALSE))</f>
        <v>1959</v>
      </c>
      <c r="Q14" s="7" t="str">
        <f>IF(O14=""," ",VLOOKUP(O14,'[8]2012 личен състав ОТД'!$A:$AO,12,FALSE))</f>
        <v>ОТД</v>
      </c>
      <c r="R14" s="7" t="str">
        <f>IF(A14=""," ",VLOOKUP(A14,'Профилиращ лист'!A:B,2,FALSE))</f>
        <v>СПЕ</v>
      </c>
      <c r="T14" s="7">
        <f t="shared" ca="1" si="1"/>
        <v>54</v>
      </c>
    </row>
    <row r="15" spans="1:31" x14ac:dyDescent="0.25">
      <c r="A15" s="67" t="s">
        <v>13</v>
      </c>
      <c r="B15" s="4">
        <v>30</v>
      </c>
      <c r="C15" s="4">
        <v>45</v>
      </c>
      <c r="D15" s="4">
        <v>15</v>
      </c>
      <c r="E15" s="4">
        <v>30</v>
      </c>
      <c r="F15" s="4">
        <v>0</v>
      </c>
      <c r="G15" s="4">
        <f t="shared" ref="G15:G20" si="8">H15-C15</f>
        <v>75</v>
      </c>
      <c r="H15" s="4">
        <f t="shared" si="7"/>
        <v>120</v>
      </c>
      <c r="I15" s="4">
        <v>4</v>
      </c>
      <c r="J15" s="4" t="s">
        <v>12</v>
      </c>
      <c r="K15" s="73">
        <f t="shared" si="3"/>
        <v>90</v>
      </c>
      <c r="L15" s="73">
        <f t="shared" si="4"/>
        <v>30</v>
      </c>
      <c r="M15" s="73">
        <f t="shared" si="5"/>
        <v>60</v>
      </c>
      <c r="N15" s="7" t="str">
        <f>IF(O15=""," ",VLOOKUP(O15,'[8]2012 личен състав ОТД'!$A:$AO,2,FALSE))</f>
        <v>доц. д-р Христина Тончева</v>
      </c>
      <c r="O15" s="3" t="s">
        <v>461</v>
      </c>
      <c r="P15" s="7">
        <f>IF(O15=""," ",VLOOKUP(O15,'[8]2012 личен състав ОТД'!$A:$AO,13,FALSE))</f>
        <v>1968</v>
      </c>
      <c r="Q15" s="7" t="str">
        <f>IF(O15=""," ",VLOOKUP(O15,'[8]2012 личен състав ОТД'!$A:$AO,12,FALSE))</f>
        <v>ОТД</v>
      </c>
      <c r="R15" s="7" t="str">
        <f>IF(A15=""," ",VLOOKUP(A15,'Профилиращ лист'!A:B,2,FALSE))</f>
        <v>ОФД</v>
      </c>
      <c r="T15" s="7">
        <f t="shared" ca="1" si="1"/>
        <v>45</v>
      </c>
    </row>
    <row r="16" spans="1:31" x14ac:dyDescent="0.25">
      <c r="A16" s="67" t="s">
        <v>24</v>
      </c>
      <c r="B16" s="4">
        <v>30</v>
      </c>
      <c r="C16" s="4">
        <v>60</v>
      </c>
      <c r="D16" s="4">
        <v>30</v>
      </c>
      <c r="E16" s="4">
        <v>30</v>
      </c>
      <c r="F16" s="4">
        <v>0</v>
      </c>
      <c r="G16" s="4">
        <f t="shared" si="8"/>
        <v>30</v>
      </c>
      <c r="H16" s="4">
        <f t="shared" si="7"/>
        <v>90</v>
      </c>
      <c r="I16" s="4">
        <v>3</v>
      </c>
      <c r="J16" s="4" t="s">
        <v>12</v>
      </c>
      <c r="K16" s="73">
        <f t="shared" si="3"/>
        <v>60</v>
      </c>
      <c r="L16" s="73">
        <f t="shared" si="4"/>
        <v>30</v>
      </c>
      <c r="M16" s="73">
        <f t="shared" si="5"/>
        <v>30</v>
      </c>
      <c r="N16" s="7" t="str">
        <f>IF(O16=""," ",VLOOKUP(O16,'[8]2012 личен състав ОТД'!$A:$AO,2,FALSE))</f>
        <v>доц. д-р Станка Козарова</v>
      </c>
      <c r="O16" s="3" t="str">
        <f>IF(A16=""," ",VLOOKUP(A16,'Български и испански език'!A:O,15,FALSE))</f>
        <v>козарова</v>
      </c>
      <c r="P16" s="7">
        <f>IF(O16=""," ",VLOOKUP(O16,'[8]2012 личен състав ОТД'!$A:$AO,13,FALSE))</f>
        <v>1959</v>
      </c>
      <c r="Q16" s="7" t="str">
        <f>IF(O16=""," ",VLOOKUP(O16,'[8]2012 личен състав ОТД'!$A:$AO,12,FALSE))</f>
        <v>ОТД</v>
      </c>
      <c r="R16" s="7" t="str">
        <f>IF(A16=""," ",VLOOKUP(A16,'Профилиращ лист'!A:B,2,FALSE))</f>
        <v>ОФД</v>
      </c>
      <c r="T16" s="7">
        <f t="shared" ca="1" si="1"/>
        <v>54</v>
      </c>
    </row>
    <row r="17" spans="1:20" x14ac:dyDescent="0.25">
      <c r="A17" s="67" t="s">
        <v>158</v>
      </c>
      <c r="B17" s="8">
        <v>30</v>
      </c>
      <c r="C17" s="4">
        <v>30</v>
      </c>
      <c r="D17" s="4">
        <v>30</v>
      </c>
      <c r="E17" s="4">
        <v>0</v>
      </c>
      <c r="F17" s="4">
        <f>C17-D17-E17</f>
        <v>0</v>
      </c>
      <c r="G17" s="4">
        <f t="shared" si="8"/>
        <v>60</v>
      </c>
      <c r="H17" s="4">
        <f t="shared" si="7"/>
        <v>90</v>
      </c>
      <c r="I17" s="5">
        <v>3</v>
      </c>
      <c r="J17" s="6" t="s">
        <v>12</v>
      </c>
      <c r="K17" s="73">
        <f t="shared" si="3"/>
        <v>60</v>
      </c>
      <c r="L17" s="73">
        <f t="shared" si="4"/>
        <v>60</v>
      </c>
      <c r="M17" s="73">
        <f t="shared" si="5"/>
        <v>0</v>
      </c>
      <c r="N17" s="7" t="str">
        <f>IF(O17=""," ",VLOOKUP(O17,'[8]2012 личен състав ОТД'!$A:$AO,2,FALSE))</f>
        <v>гл. ас. д-р Дияна Николова-Багалева</v>
      </c>
      <c r="O17" s="3" t="s">
        <v>508</v>
      </c>
      <c r="P17" s="7">
        <f>IF(O17=""," ",VLOOKUP(O17,'[8]2012 личен състав ОТД'!$A:$AO,13,FALSE))</f>
        <v>1965</v>
      </c>
      <c r="Q17" s="7" t="str">
        <f>IF(O17=""," ",VLOOKUP(O17,'[8]2012 личен състав ОТД'!$A:$AO,12,FALSE))</f>
        <v>ОТД</v>
      </c>
      <c r="R17" s="7" t="s">
        <v>255</v>
      </c>
      <c r="T17" s="7">
        <f t="shared" ca="1" si="1"/>
        <v>48</v>
      </c>
    </row>
    <row r="18" spans="1:20" ht="18" hidden="1" customHeight="1" x14ac:dyDescent="0.25">
      <c r="A18" s="8" t="s">
        <v>161</v>
      </c>
      <c r="B18" s="4">
        <v>90</v>
      </c>
      <c r="C18" s="4">
        <v>105</v>
      </c>
      <c r="D18" s="4">
        <v>0</v>
      </c>
      <c r="E18" s="4">
        <v>0</v>
      </c>
      <c r="F18" s="4">
        <v>105</v>
      </c>
      <c r="G18" s="4">
        <f t="shared" si="8"/>
        <v>165</v>
      </c>
      <c r="H18" s="4">
        <f t="shared" si="7"/>
        <v>270</v>
      </c>
      <c r="I18" s="4">
        <v>9</v>
      </c>
      <c r="J18" s="4" t="s">
        <v>12</v>
      </c>
      <c r="K18" s="73">
        <f t="shared" si="3"/>
        <v>555</v>
      </c>
      <c r="L18" s="73">
        <f t="shared" si="4"/>
        <v>0</v>
      </c>
      <c r="M18" s="73">
        <f t="shared" si="5"/>
        <v>555</v>
      </c>
      <c r="N18" s="7" t="str">
        <f>IF(O18=""," ",VLOOKUP(O18,'[8]2012 личен състав ОТД'!$A:$AO,2,FALSE))</f>
        <v xml:space="preserve"> </v>
      </c>
      <c r="O18" s="3"/>
      <c r="P18" s="7" t="str">
        <f>IF(O18=""," ",VLOOKUP(O18,'[8]2012 личен състав ОТД'!$A:$AO,13,FALSE))</f>
        <v xml:space="preserve"> </v>
      </c>
      <c r="Q18" s="7" t="str">
        <f>IF(O18=""," ",VLOOKUP(O18,'[8]2012 личен състав ОТД'!$A:$AO,12,FALSE))</f>
        <v xml:space="preserve"> </v>
      </c>
      <c r="R18" s="7" t="e">
        <f>IF(A18=""," ",VLOOKUP(A18,'Профилиращ лист'!A:B,2,FALSE))</f>
        <v>#N/A</v>
      </c>
      <c r="T18" s="7" t="e">
        <f t="shared" ca="1" si="1"/>
        <v>#VALUE!</v>
      </c>
    </row>
    <row r="19" spans="1:20" ht="18" hidden="1" customHeight="1" x14ac:dyDescent="0.25">
      <c r="A19" s="8" t="s">
        <v>162</v>
      </c>
      <c r="B19" s="4">
        <v>15</v>
      </c>
      <c r="C19" s="4">
        <v>30</v>
      </c>
      <c r="D19" s="4">
        <v>0</v>
      </c>
      <c r="E19" s="4">
        <v>0</v>
      </c>
      <c r="F19" s="4">
        <v>30</v>
      </c>
      <c r="G19" s="4">
        <f t="shared" si="8"/>
        <v>60</v>
      </c>
      <c r="H19" s="4">
        <f t="shared" si="7"/>
        <v>90</v>
      </c>
      <c r="I19" s="4">
        <v>3</v>
      </c>
      <c r="J19" s="4" t="s">
        <v>18</v>
      </c>
      <c r="K19" s="73">
        <f t="shared" si="3"/>
        <v>30</v>
      </c>
      <c r="L19" s="73">
        <f t="shared" si="4"/>
        <v>0</v>
      </c>
      <c r="M19" s="73">
        <f t="shared" si="5"/>
        <v>30</v>
      </c>
      <c r="N19" s="7" t="str">
        <f>IF(O19=""," ",VLOOKUP(O19,'[8]2012 личен състав ОТД'!$A:$AO,2,FALSE))</f>
        <v xml:space="preserve"> </v>
      </c>
      <c r="O19" s="3"/>
      <c r="P19" s="7" t="str">
        <f>IF(O19=""," ",VLOOKUP(O19,'[8]2012 личен състав ОТД'!$A:$AO,13,FALSE))</f>
        <v xml:space="preserve"> </v>
      </c>
      <c r="Q19" s="7" t="str">
        <f>IF(O19=""," ",VLOOKUP(O19,'[8]2012 личен състав ОТД'!$A:$AO,12,FALSE))</f>
        <v xml:space="preserve"> </v>
      </c>
      <c r="R19" s="7" t="e">
        <f>IF(A19=""," ",VLOOKUP(A19,'Профилиращ лист'!A:B,2,FALSE))</f>
        <v>#N/A</v>
      </c>
      <c r="T19" s="7" t="e">
        <f t="shared" ca="1" si="1"/>
        <v>#VALUE!</v>
      </c>
    </row>
    <row r="20" spans="1:20" x14ac:dyDescent="0.25">
      <c r="A20" s="67" t="s">
        <v>26</v>
      </c>
      <c r="B20" s="4">
        <v>30</v>
      </c>
      <c r="C20" s="4">
        <v>45</v>
      </c>
      <c r="D20" s="4">
        <v>30</v>
      </c>
      <c r="E20" s="4">
        <v>15</v>
      </c>
      <c r="F20" s="4">
        <v>0</v>
      </c>
      <c r="G20" s="4">
        <f t="shared" si="8"/>
        <v>45</v>
      </c>
      <c r="H20" s="4">
        <f t="shared" si="7"/>
        <v>90</v>
      </c>
      <c r="I20" s="4">
        <v>3</v>
      </c>
      <c r="J20" s="4" t="s">
        <v>12</v>
      </c>
      <c r="K20" s="73">
        <f t="shared" si="3"/>
        <v>45</v>
      </c>
      <c r="L20" s="73">
        <f t="shared" si="4"/>
        <v>30</v>
      </c>
      <c r="M20" s="73">
        <f t="shared" si="5"/>
        <v>15</v>
      </c>
      <c r="N20" s="7" t="str">
        <f>IF(O20=""," ",VLOOKUP(O20,'[8]2012 личен състав ОТД'!$A:$AO,2,FALSE))</f>
        <v>доц. д-р Ваня Зидарова</v>
      </c>
      <c r="O20" s="3" t="str">
        <f>IF(A20=""," ",VLOOKUP(A20,'Български и испански език'!A:O,15,FALSE))</f>
        <v>зидарова</v>
      </c>
      <c r="P20" s="7">
        <f>IF(O20=""," ",VLOOKUP(O20,'[8]2012 личен състав ОТД'!$A:$AO,13,FALSE))</f>
        <v>1959</v>
      </c>
      <c r="Q20" s="7" t="str">
        <f>IF(O20=""," ",VLOOKUP(O20,'[8]2012 личен състав ОТД'!$A:$AO,12,FALSE))</f>
        <v>ОТД</v>
      </c>
      <c r="R20" s="7" t="str">
        <f>IF(A20=""," ",VLOOKUP(A20,'Профилиращ лист'!A:B,2,FALSE))</f>
        <v>ОФД</v>
      </c>
      <c r="T20" s="7">
        <f t="shared" ca="1" si="1"/>
        <v>54</v>
      </c>
    </row>
    <row r="21" spans="1:20" ht="18" hidden="1" customHeight="1" x14ac:dyDescent="0.25">
      <c r="A21" s="8" t="s">
        <v>29</v>
      </c>
      <c r="C21" s="4">
        <v>30</v>
      </c>
      <c r="D21" s="4">
        <v>0</v>
      </c>
      <c r="E21" s="4">
        <v>0</v>
      </c>
      <c r="F21" s="4">
        <f>C21-D21-E21</f>
        <v>30</v>
      </c>
      <c r="G21" s="4">
        <v>0</v>
      </c>
      <c r="H21" s="4">
        <v>0</v>
      </c>
      <c r="I21" s="5">
        <v>0</v>
      </c>
      <c r="J21" s="4" t="s">
        <v>14</v>
      </c>
      <c r="K21" s="73">
        <f t="shared" si="3"/>
        <v>60</v>
      </c>
      <c r="L21" s="73">
        <f t="shared" si="4"/>
        <v>0</v>
      </c>
      <c r="M21" s="73">
        <f t="shared" si="5"/>
        <v>60</v>
      </c>
      <c r="N21" s="7" t="str">
        <f>IF(O21=""," ",VLOOKUP(O21,'[8]2012 личен състав ОТД'!$A:$AO,2,FALSE))</f>
        <v xml:space="preserve"> </v>
      </c>
      <c r="O21" s="3"/>
      <c r="P21" s="7" t="str">
        <f>IF(O21=""," ",VLOOKUP(O21,'[8]2012 личен състав ОТД'!$A:$AO,13,FALSE))</f>
        <v xml:space="preserve"> </v>
      </c>
      <c r="Q21" s="7" t="str">
        <f>IF(O21=""," ",VLOOKUP(O21,'[8]2012 личен състав ОТД'!$A:$AO,12,FALSE))</f>
        <v xml:space="preserve"> </v>
      </c>
      <c r="R21" s="7" t="str">
        <f>IF(A21=""," ",VLOOKUP(A21,'Профилиращ лист'!A:B,2,FALSE))</f>
        <v>ПЕД</v>
      </c>
      <c r="T21" s="7" t="e">
        <f t="shared" ca="1" si="1"/>
        <v>#VALUE!</v>
      </c>
    </row>
    <row r="22" spans="1:20" ht="18" hidden="1" customHeight="1" x14ac:dyDescent="0.25">
      <c r="A22" s="8"/>
      <c r="B22" s="9">
        <f t="shared" ref="B22:I22" si="9">SUM(B14:B20)</f>
        <v>270</v>
      </c>
      <c r="C22" s="9">
        <f t="shared" si="9"/>
        <v>375</v>
      </c>
      <c r="D22" s="9">
        <f t="shared" si="9"/>
        <v>150</v>
      </c>
      <c r="E22" s="9">
        <f t="shared" si="9"/>
        <v>90</v>
      </c>
      <c r="F22" s="9">
        <f>C22-D22-E22</f>
        <v>135</v>
      </c>
      <c r="G22" s="9">
        <f t="shared" si="9"/>
        <v>525</v>
      </c>
      <c r="H22" s="9">
        <f t="shared" si="9"/>
        <v>900</v>
      </c>
      <c r="I22" s="9">
        <f t="shared" si="9"/>
        <v>30</v>
      </c>
      <c r="J22" s="6"/>
      <c r="K22" s="73">
        <f t="shared" si="3"/>
        <v>0</v>
      </c>
      <c r="L22" s="73">
        <f t="shared" si="4"/>
        <v>0</v>
      </c>
      <c r="M22" s="73">
        <f t="shared" si="5"/>
        <v>0</v>
      </c>
      <c r="N22" s="7" t="str">
        <f>IF(O22=""," ",VLOOKUP(O22,'[8]2012 личен състав ОТД'!$A:$AO,2,FALSE))</f>
        <v xml:space="preserve"> </v>
      </c>
      <c r="O22" s="3"/>
      <c r="P22" s="7" t="str">
        <f>IF(O22=""," ",VLOOKUP(O22,'[8]2012 личен състав ОТД'!$A:$AO,13,FALSE))</f>
        <v xml:space="preserve"> </v>
      </c>
      <c r="Q22" s="7" t="str">
        <f>IF(O22=""," ",VLOOKUP(O22,'[8]2012 личен състав ОТД'!$A:$AO,12,FALSE))</f>
        <v xml:space="preserve"> </v>
      </c>
      <c r="R22" s="7" t="str">
        <f>IF(A22=""," ",VLOOKUP(A22,'Профилиращ лист'!A:B,2,FALSE))</f>
        <v xml:space="preserve"> </v>
      </c>
      <c r="T22" s="7" t="e">
        <f t="shared" ca="1" si="1"/>
        <v>#VALUE!</v>
      </c>
    </row>
    <row r="23" spans="1:20" ht="18" hidden="1" customHeight="1" x14ac:dyDescent="0.25">
      <c r="A23" s="1" t="s">
        <v>30</v>
      </c>
      <c r="B23" s="1"/>
      <c r="I23" s="13"/>
      <c r="J23" s="14"/>
      <c r="K23" s="73">
        <f t="shared" si="3"/>
        <v>0</v>
      </c>
      <c r="L23" s="73">
        <f t="shared" si="4"/>
        <v>0</v>
      </c>
      <c r="M23" s="73">
        <f t="shared" si="5"/>
        <v>0</v>
      </c>
      <c r="N23" s="7" t="str">
        <f>IF(O23=""," ",VLOOKUP(O23,'[8]2012 личен състав ОТД'!$A:$AO,2,FALSE))</f>
        <v xml:space="preserve"> </v>
      </c>
      <c r="O23" s="3"/>
      <c r="P23" s="7" t="str">
        <f>IF(O23=""," ",VLOOKUP(O23,'[8]2012 личен състав ОТД'!$A:$AO,13,FALSE))</f>
        <v xml:space="preserve"> </v>
      </c>
      <c r="Q23" s="7" t="str">
        <f>IF(O23=""," ",VLOOKUP(O23,'[8]2012 личен състав ОТД'!$A:$AO,12,FALSE))</f>
        <v xml:space="preserve"> </v>
      </c>
      <c r="R23" s="7" t="e">
        <f>IF(A23=""," ",VLOOKUP(A23,'Профилиращ лист'!A:B,2,FALSE))</f>
        <v>#N/A</v>
      </c>
      <c r="T23" s="7" t="e">
        <f t="shared" ca="1" si="1"/>
        <v>#VALUE!</v>
      </c>
    </row>
    <row r="24" spans="1:20" ht="18" hidden="1" customHeight="1" x14ac:dyDescent="0.25">
      <c r="A24" s="8" t="s">
        <v>31</v>
      </c>
      <c r="B24" s="4">
        <v>30</v>
      </c>
      <c r="C24" s="4">
        <v>30</v>
      </c>
      <c r="D24" s="4">
        <v>30</v>
      </c>
      <c r="E24" s="4">
        <v>0</v>
      </c>
      <c r="F24" s="4">
        <v>0</v>
      </c>
      <c r="G24" s="4">
        <f>H24-C24</f>
        <v>60</v>
      </c>
      <c r="H24" s="4">
        <f t="shared" ref="H24:H31" si="10">I24*30</f>
        <v>90</v>
      </c>
      <c r="I24" s="4">
        <v>3</v>
      </c>
      <c r="J24" s="4" t="s">
        <v>14</v>
      </c>
      <c r="K24" s="73">
        <f t="shared" si="3"/>
        <v>75</v>
      </c>
      <c r="L24" s="73">
        <f t="shared" si="4"/>
        <v>60</v>
      </c>
      <c r="M24" s="73">
        <f t="shared" si="5"/>
        <v>15</v>
      </c>
      <c r="N24" s="7" t="str">
        <f>IF(O24=""," ",VLOOKUP(O24,'[8]2012 личен състав ОТД'!$A:$AO,2,FALSE))</f>
        <v xml:space="preserve"> </v>
      </c>
      <c r="O24" s="3"/>
      <c r="P24" s="7" t="str">
        <f>IF(O24=""," ",VLOOKUP(O24,'[8]2012 личен състав ОТД'!$A:$AO,13,FALSE))</f>
        <v xml:space="preserve"> </v>
      </c>
      <c r="Q24" s="7" t="str">
        <f>IF(O24=""," ",VLOOKUP(O24,'[8]2012 личен състав ОТД'!$A:$AO,12,FALSE))</f>
        <v xml:space="preserve"> </v>
      </c>
      <c r="R24" s="7" t="str">
        <f>IF(A24=""," ",VLOOKUP(A24,'Профилиращ лист'!A:B,2,FALSE))</f>
        <v>СПЕ</v>
      </c>
      <c r="T24" s="7" t="e">
        <f t="shared" ca="1" si="1"/>
        <v>#VALUE!</v>
      </c>
    </row>
    <row r="25" spans="1:20" x14ac:dyDescent="0.25">
      <c r="A25" s="67" t="s">
        <v>163</v>
      </c>
      <c r="B25" s="4">
        <v>30</v>
      </c>
      <c r="C25" s="4">
        <v>30</v>
      </c>
      <c r="D25" s="4">
        <v>30</v>
      </c>
      <c r="E25" s="4">
        <v>0</v>
      </c>
      <c r="F25" s="4">
        <v>0</v>
      </c>
      <c r="G25" s="4">
        <f t="shared" ref="G25:G31" si="11">H25-C25</f>
        <v>60</v>
      </c>
      <c r="H25" s="4">
        <f t="shared" si="10"/>
        <v>90</v>
      </c>
      <c r="I25" s="4">
        <v>3</v>
      </c>
      <c r="J25" s="4" t="s">
        <v>12</v>
      </c>
      <c r="K25" s="73">
        <f t="shared" si="3"/>
        <v>30</v>
      </c>
      <c r="L25" s="73">
        <f t="shared" si="4"/>
        <v>30</v>
      </c>
      <c r="M25" s="73">
        <f t="shared" si="5"/>
        <v>0</v>
      </c>
      <c r="N25" s="7" t="str">
        <f>IF(O25=""," ",VLOOKUP(O25,'[8]2012 личен състав ОТД'!$A:$AO,2,FALSE))</f>
        <v>проф. д.с.н. Албена Хранова</v>
      </c>
      <c r="O25" s="3" t="s">
        <v>485</v>
      </c>
      <c r="P25" s="7">
        <f>IF(O25=""," ",VLOOKUP(O25,'[8]2012 личен състав ОТД'!$A:$AO,13,FALSE))</f>
        <v>1960</v>
      </c>
      <c r="Q25" s="7" t="str">
        <f>IF(O25=""," ",VLOOKUP(O25,'[8]2012 личен състав ОТД'!$A:$AO,12,FALSE))</f>
        <v>ОТД</v>
      </c>
      <c r="R25" s="7" t="s">
        <v>272</v>
      </c>
      <c r="T25" s="7">
        <f t="shared" ca="1" si="1"/>
        <v>53</v>
      </c>
    </row>
    <row r="26" spans="1:20" ht="18" hidden="1" customHeight="1" x14ac:dyDescent="0.25">
      <c r="A26" s="8" t="s">
        <v>161</v>
      </c>
      <c r="B26" s="4">
        <v>90</v>
      </c>
      <c r="C26" s="4">
        <v>105</v>
      </c>
      <c r="D26" s="4">
        <v>0</v>
      </c>
      <c r="E26" s="4">
        <v>0</v>
      </c>
      <c r="F26" s="4">
        <v>105</v>
      </c>
      <c r="G26" s="4">
        <f t="shared" si="11"/>
        <v>135</v>
      </c>
      <c r="H26" s="4">
        <f t="shared" si="10"/>
        <v>240</v>
      </c>
      <c r="I26" s="4">
        <v>8</v>
      </c>
      <c r="J26" s="4" t="s">
        <v>14</v>
      </c>
      <c r="K26" s="73">
        <f t="shared" si="3"/>
        <v>555</v>
      </c>
      <c r="L26" s="73">
        <f t="shared" si="4"/>
        <v>0</v>
      </c>
      <c r="M26" s="73">
        <f t="shared" si="5"/>
        <v>555</v>
      </c>
      <c r="N26" s="7" t="str">
        <f>IF(O26=""," ",VLOOKUP(O26,'[8]2012 личен състав ОТД'!$A:$AO,2,FALSE))</f>
        <v xml:space="preserve"> </v>
      </c>
      <c r="O26" s="3"/>
      <c r="P26" s="7" t="str">
        <f>IF(O26=""," ",VLOOKUP(O26,'[8]2012 личен състав ОТД'!$A:$AO,13,FALSE))</f>
        <v xml:space="preserve"> </v>
      </c>
      <c r="Q26" s="7" t="str">
        <f>IF(O26=""," ",VLOOKUP(O26,'[8]2012 личен състав ОТД'!$A:$AO,12,FALSE))</f>
        <v xml:space="preserve"> </v>
      </c>
      <c r="R26" s="7" t="e">
        <f>IF(A26=""," ",VLOOKUP(A26,'Профилиращ лист'!A:B,2,FALSE))</f>
        <v>#N/A</v>
      </c>
      <c r="T26" s="7" t="e">
        <f t="shared" ca="1" si="1"/>
        <v>#VALUE!</v>
      </c>
    </row>
    <row r="27" spans="1:20" x14ac:dyDescent="0.25">
      <c r="A27" s="67" t="s">
        <v>34</v>
      </c>
      <c r="B27" s="4">
        <v>60</v>
      </c>
      <c r="C27" s="4">
        <v>60</v>
      </c>
      <c r="D27" s="4">
        <v>45</v>
      </c>
      <c r="E27" s="4">
        <v>15</v>
      </c>
      <c r="F27" s="4">
        <v>0</v>
      </c>
      <c r="G27" s="4">
        <f t="shared" si="11"/>
        <v>60</v>
      </c>
      <c r="H27" s="4">
        <f t="shared" si="10"/>
        <v>120</v>
      </c>
      <c r="I27" s="4">
        <v>4</v>
      </c>
      <c r="J27" s="4" t="s">
        <v>12</v>
      </c>
      <c r="K27" s="73">
        <f t="shared" si="3"/>
        <v>60</v>
      </c>
      <c r="L27" s="73">
        <f t="shared" si="4"/>
        <v>45</v>
      </c>
      <c r="M27" s="73">
        <f t="shared" si="5"/>
        <v>15</v>
      </c>
      <c r="N27" s="7" t="str">
        <f>IF(O27=""," ",VLOOKUP(O27,'[8]2012 личен състав ОТД'!$A:$AO,2,FALSE))</f>
        <v>доц. д-р Кирилка Тагарева</v>
      </c>
      <c r="O27" s="3" t="s">
        <v>513</v>
      </c>
      <c r="P27" s="7">
        <f>IF(O27=""," ",VLOOKUP(O27,'[8]2012 личен състав ОТД'!$A:$AO,13,FALSE))</f>
        <v>1962</v>
      </c>
      <c r="Q27" s="7" t="str">
        <f>IF(O27=""," ",VLOOKUP(O27,'[8]2012 личен състав ОТД'!$A:$AO,12,FALSE))</f>
        <v>ОТД</v>
      </c>
      <c r="R27" s="7" t="str">
        <f>IF(A27=""," ",VLOOKUP(A27,'Профилиращ лист'!A:B,2,FALSE))</f>
        <v>ПЕД</v>
      </c>
      <c r="T27" s="7">
        <f t="shared" ca="1" si="1"/>
        <v>51</v>
      </c>
    </row>
    <row r="28" spans="1:20" x14ac:dyDescent="0.25">
      <c r="A28" s="67" t="s">
        <v>35</v>
      </c>
      <c r="B28" s="4">
        <v>45</v>
      </c>
      <c r="C28" s="4">
        <v>45</v>
      </c>
      <c r="D28" s="4">
        <v>45</v>
      </c>
      <c r="E28" s="4">
        <v>0</v>
      </c>
      <c r="F28" s="4">
        <v>0</v>
      </c>
      <c r="G28" s="4">
        <f t="shared" si="11"/>
        <v>45</v>
      </c>
      <c r="H28" s="4">
        <f t="shared" si="10"/>
        <v>90</v>
      </c>
      <c r="I28" s="4">
        <v>3</v>
      </c>
      <c r="J28" s="4" t="s">
        <v>12</v>
      </c>
      <c r="K28" s="73">
        <f t="shared" si="3"/>
        <v>45</v>
      </c>
      <c r="L28" s="73">
        <f t="shared" si="4"/>
        <v>45</v>
      </c>
      <c r="M28" s="73">
        <f t="shared" si="5"/>
        <v>0</v>
      </c>
      <c r="N28" s="7" t="str">
        <f>IF(O28=""," ",VLOOKUP(O28,'[8]2012 личен състав ОТД'!$A:$AO,2,FALSE))</f>
        <v>проф. д.п.н. Румен Стаматов</v>
      </c>
      <c r="O28" s="3" t="str">
        <f>IF(A28=""," ",VLOOKUP(A28,'Български и испански език'!A:O,15,FALSE))</f>
        <v>стаматов</v>
      </c>
      <c r="P28" s="7">
        <f>IF(O28=""," ",VLOOKUP(O28,'[8]2012 личен състав ОТД'!$A:$AO,13,FALSE))</f>
        <v>1953</v>
      </c>
      <c r="Q28" s="7" t="str">
        <f>IF(O28=""," ",VLOOKUP(O28,'[8]2012 личен състав ОТД'!$A:$AO,12,FALSE))</f>
        <v>ОТД</v>
      </c>
      <c r="R28" s="7" t="str">
        <f>IF(A28=""," ",VLOOKUP(A28,'Профилиращ лист'!A:B,2,FALSE))</f>
        <v>ПЕД</v>
      </c>
      <c r="T28" s="7">
        <f t="shared" ca="1" si="1"/>
        <v>60</v>
      </c>
    </row>
    <row r="29" spans="1:20" ht="18" hidden="1" customHeight="1" x14ac:dyDescent="0.25">
      <c r="A29" s="8" t="s">
        <v>164</v>
      </c>
      <c r="B29" s="4">
        <v>30</v>
      </c>
      <c r="C29" s="4">
        <v>30</v>
      </c>
      <c r="D29" s="4">
        <v>30</v>
      </c>
      <c r="E29" s="4">
        <v>0</v>
      </c>
      <c r="F29" s="4">
        <v>0</v>
      </c>
      <c r="G29" s="4">
        <f t="shared" si="11"/>
        <v>60</v>
      </c>
      <c r="H29" s="4">
        <f t="shared" si="10"/>
        <v>90</v>
      </c>
      <c r="I29" s="4">
        <v>3</v>
      </c>
      <c r="J29" s="4" t="s">
        <v>14</v>
      </c>
      <c r="K29" s="73">
        <f t="shared" si="3"/>
        <v>75</v>
      </c>
      <c r="L29" s="73">
        <f t="shared" si="4"/>
        <v>60</v>
      </c>
      <c r="M29" s="73">
        <f t="shared" si="5"/>
        <v>15</v>
      </c>
      <c r="N29" s="7" t="str">
        <f>IF(O29=""," ",VLOOKUP(O29,'[8]2012 личен състав ОТД'!$A:$AO,2,FALSE))</f>
        <v xml:space="preserve"> </v>
      </c>
      <c r="O29" s="3"/>
      <c r="P29" s="7" t="str">
        <f>IF(O29=""," ",VLOOKUP(O29,'[8]2012 личен състав ОТД'!$A:$AO,13,FALSE))</f>
        <v xml:space="preserve"> </v>
      </c>
      <c r="Q29" s="7" t="str">
        <f>IF(O29=""," ",VLOOKUP(O29,'[8]2012 личен състав ОТД'!$A:$AO,12,FALSE))</f>
        <v xml:space="preserve"> </v>
      </c>
      <c r="R29" s="7" t="e">
        <f>IF(A29=""," ",VLOOKUP(A29,'Профилиращ лист'!A:B,2,FALSE))</f>
        <v>#N/A</v>
      </c>
      <c r="T29" s="7" t="e">
        <f t="shared" ca="1" si="1"/>
        <v>#VALUE!</v>
      </c>
    </row>
    <row r="30" spans="1:20" x14ac:dyDescent="0.25">
      <c r="A30" s="67" t="s">
        <v>37</v>
      </c>
      <c r="B30" s="4">
        <v>30</v>
      </c>
      <c r="C30" s="4">
        <v>45</v>
      </c>
      <c r="D30" s="4">
        <v>30</v>
      </c>
      <c r="E30" s="4">
        <v>15</v>
      </c>
      <c r="F30" s="4">
        <v>0</v>
      </c>
      <c r="G30" s="4">
        <f t="shared" si="11"/>
        <v>45</v>
      </c>
      <c r="H30" s="4">
        <f t="shared" si="10"/>
        <v>90</v>
      </c>
      <c r="I30" s="4">
        <v>3</v>
      </c>
      <c r="J30" s="4" t="s">
        <v>12</v>
      </c>
      <c r="K30" s="73">
        <f t="shared" si="3"/>
        <v>45</v>
      </c>
      <c r="L30" s="73">
        <f t="shared" si="4"/>
        <v>30</v>
      </c>
      <c r="M30" s="73">
        <f t="shared" si="5"/>
        <v>15</v>
      </c>
      <c r="N30" s="7" t="str">
        <f>IF(O30=""," ",VLOOKUP(O30,'[8]2012 личен състав ОТД'!$A:$AO,2,FALSE))</f>
        <v>гл. ас. д-р Иванка Гайдаджиева</v>
      </c>
      <c r="O30" s="3" t="str">
        <f>IF(A30=""," ",VLOOKUP(A30,'Български и испански език'!A:O,15,FALSE))</f>
        <v>гайдаджиева</v>
      </c>
      <c r="P30" s="7">
        <f>IF(O30=""," ",VLOOKUP(O30,'[8]2012 личен състав ОТД'!$A:$AO,13,FALSE))</f>
        <v>1958</v>
      </c>
      <c r="Q30" s="7" t="str">
        <f>IF(O30=""," ",VLOOKUP(O30,'[8]2012 личен състав ОТД'!$A:$AO,12,FALSE))</f>
        <v>ОТД</v>
      </c>
      <c r="R30" s="7" t="str">
        <f>IF(A30=""," ",VLOOKUP(A30,'Профилиращ лист'!A:B,2,FALSE))</f>
        <v>СПЕ</v>
      </c>
      <c r="T30" s="7">
        <f t="shared" ca="1" si="1"/>
        <v>55</v>
      </c>
    </row>
    <row r="31" spans="1:20" x14ac:dyDescent="0.25">
      <c r="A31" s="67" t="s">
        <v>165</v>
      </c>
      <c r="B31" s="4">
        <v>30</v>
      </c>
      <c r="C31" s="4">
        <v>45</v>
      </c>
      <c r="D31" s="4">
        <v>30</v>
      </c>
      <c r="E31" s="4">
        <v>15</v>
      </c>
      <c r="F31" s="4">
        <v>0</v>
      </c>
      <c r="G31" s="4">
        <f t="shared" si="11"/>
        <v>45</v>
      </c>
      <c r="H31" s="4">
        <f t="shared" si="10"/>
        <v>90</v>
      </c>
      <c r="I31" s="4">
        <v>3</v>
      </c>
      <c r="J31" s="4" t="s">
        <v>12</v>
      </c>
      <c r="K31" s="73">
        <f t="shared" si="3"/>
        <v>45</v>
      </c>
      <c r="L31" s="73">
        <f t="shared" si="4"/>
        <v>30</v>
      </c>
      <c r="M31" s="73">
        <f t="shared" si="5"/>
        <v>15</v>
      </c>
      <c r="N31" s="7" t="str">
        <f>IF(O31=""," ",VLOOKUP(O31,'[8]2012 личен състав ОТД'!$A:$AO,2,FALSE))</f>
        <v>проф. д-р Стойна Пороманска</v>
      </c>
      <c r="O31" s="3" t="s">
        <v>509</v>
      </c>
      <c r="P31" s="7">
        <f>IF(O31=""," ",VLOOKUP(O31,'[8]2012 личен състав ОТД'!$A:$AO,13,FALSE))</f>
        <v>1939</v>
      </c>
      <c r="Q31" s="7" t="str">
        <f>IF(O31=""," ",VLOOKUP(O31,'[8]2012 личен състав ОТД'!$A:$AO,12,FALSE))</f>
        <v>ОТД</v>
      </c>
      <c r="R31" s="7" t="s">
        <v>255</v>
      </c>
      <c r="T31" s="7">
        <f t="shared" ca="1" si="1"/>
        <v>74</v>
      </c>
    </row>
    <row r="32" spans="1:20" ht="18" hidden="1" customHeight="1" x14ac:dyDescent="0.25">
      <c r="A32" s="8" t="s">
        <v>29</v>
      </c>
      <c r="C32" s="4">
        <v>30</v>
      </c>
      <c r="D32" s="4">
        <v>0</v>
      </c>
      <c r="E32" s="4">
        <v>0</v>
      </c>
      <c r="F32" s="4">
        <f>C32-D32-E32</f>
        <v>30</v>
      </c>
      <c r="G32" s="4">
        <v>0</v>
      </c>
      <c r="H32" s="4">
        <v>0</v>
      </c>
      <c r="I32" s="5">
        <v>0</v>
      </c>
      <c r="J32" s="4" t="s">
        <v>14</v>
      </c>
      <c r="K32" s="73">
        <f t="shared" si="3"/>
        <v>60</v>
      </c>
      <c r="L32" s="73">
        <f t="shared" si="4"/>
        <v>0</v>
      </c>
      <c r="M32" s="73">
        <f t="shared" si="5"/>
        <v>60</v>
      </c>
      <c r="N32" s="7" t="str">
        <f>IF(O32=""," ",VLOOKUP(O32,'[8]2012 личен състав ОТД'!$A:$AO,2,FALSE))</f>
        <v xml:space="preserve"> </v>
      </c>
      <c r="O32" s="3"/>
      <c r="P32" s="7" t="str">
        <f>IF(O32=""," ",VLOOKUP(O32,'[8]2012 личен състав ОТД'!$A:$AO,13,FALSE))</f>
        <v xml:space="preserve"> </v>
      </c>
      <c r="Q32" s="7" t="str">
        <f>IF(O32=""," ",VLOOKUP(O32,'[8]2012 личен състав ОТД'!$A:$AO,12,FALSE))</f>
        <v xml:space="preserve"> </v>
      </c>
      <c r="R32" s="7" t="str">
        <f>IF(A32=""," ",VLOOKUP(A32,'Профилиращ лист'!A:B,2,FALSE))</f>
        <v>ПЕД</v>
      </c>
      <c r="T32" s="7" t="e">
        <f t="shared" ca="1" si="1"/>
        <v>#VALUE!</v>
      </c>
    </row>
    <row r="33" spans="1:28" ht="18" hidden="1" customHeight="1" x14ac:dyDescent="0.25">
      <c r="A33" s="8"/>
      <c r="B33" s="9">
        <f t="shared" ref="B33:I33" si="12">SUM(B24:B31)</f>
        <v>345</v>
      </c>
      <c r="C33" s="9">
        <f t="shared" si="12"/>
        <v>390</v>
      </c>
      <c r="D33" s="9">
        <f t="shared" si="12"/>
        <v>240</v>
      </c>
      <c r="E33" s="9">
        <f t="shared" si="12"/>
        <v>45</v>
      </c>
      <c r="F33" s="9">
        <f t="shared" si="12"/>
        <v>105</v>
      </c>
      <c r="G33" s="9">
        <f t="shared" si="12"/>
        <v>510</v>
      </c>
      <c r="H33" s="9">
        <f t="shared" si="12"/>
        <v>900</v>
      </c>
      <c r="I33" s="9">
        <f t="shared" si="12"/>
        <v>30</v>
      </c>
      <c r="J33" s="6"/>
      <c r="K33" s="73">
        <f t="shared" si="3"/>
        <v>0</v>
      </c>
      <c r="L33" s="73">
        <f t="shared" si="4"/>
        <v>0</v>
      </c>
      <c r="M33" s="73">
        <f t="shared" si="5"/>
        <v>0</v>
      </c>
      <c r="N33" s="7" t="str">
        <f>IF(O33=""," ",VLOOKUP(O33,'[8]2012 личен състав ОТД'!$A:$AO,2,FALSE))</f>
        <v xml:space="preserve"> </v>
      </c>
      <c r="O33" s="3"/>
      <c r="P33" s="7" t="str">
        <f>IF(O33=""," ",VLOOKUP(O33,'[8]2012 личен състав ОТД'!$A:$AO,13,FALSE))</f>
        <v xml:space="preserve"> </v>
      </c>
      <c r="Q33" s="7" t="str">
        <f>IF(O33=""," ",VLOOKUP(O33,'[8]2012 личен състав ОТД'!$A:$AO,12,FALSE))</f>
        <v xml:space="preserve"> </v>
      </c>
      <c r="R33" s="7" t="str">
        <f>IF(A33=""," ",VLOOKUP(A33,'Профилиращ лист'!A:B,2,FALSE))</f>
        <v xml:space="preserve"> </v>
      </c>
      <c r="T33" s="7" t="e">
        <f t="shared" ca="1" si="1"/>
        <v>#VALUE!</v>
      </c>
    </row>
    <row r="34" spans="1:28" ht="17.100000000000001" hidden="1" customHeight="1" x14ac:dyDescent="0.25">
      <c r="A34" s="1" t="s">
        <v>38</v>
      </c>
      <c r="B34" s="1"/>
      <c r="I34" s="13"/>
      <c r="J34" s="14"/>
      <c r="K34" s="73">
        <f t="shared" si="3"/>
        <v>0</v>
      </c>
      <c r="L34" s="73">
        <f t="shared" si="4"/>
        <v>0</v>
      </c>
      <c r="M34" s="73">
        <f t="shared" si="5"/>
        <v>0</v>
      </c>
      <c r="N34" s="7" t="str">
        <f>IF(O34=""," ",VLOOKUP(O34,'[8]2012 личен състав ОТД'!$A:$AO,2,FALSE))</f>
        <v xml:space="preserve"> </v>
      </c>
      <c r="O34" s="3"/>
      <c r="P34" s="7" t="str">
        <f>IF(O34=""," ",VLOOKUP(O34,'[8]2012 личен състав ОТД'!$A:$AO,13,FALSE))</f>
        <v xml:space="preserve"> </v>
      </c>
      <c r="Q34" s="7" t="str">
        <f>IF(O34=""," ",VLOOKUP(O34,'[8]2012 личен състав ОТД'!$A:$AO,12,FALSE))</f>
        <v xml:space="preserve"> </v>
      </c>
      <c r="R34" s="7" t="e">
        <f>IF(A34=""," ",VLOOKUP(A34,'Профилиращ лист'!A:B,2,FALSE))</f>
        <v>#N/A</v>
      </c>
      <c r="T34" s="7" t="e">
        <f t="shared" ca="1" si="1"/>
        <v>#VALUE!</v>
      </c>
    </row>
    <row r="35" spans="1:28" ht="17.100000000000001" hidden="1" customHeight="1" x14ac:dyDescent="0.25">
      <c r="A35" s="8" t="s">
        <v>39</v>
      </c>
      <c r="B35" s="4">
        <v>45</v>
      </c>
      <c r="C35" s="4">
        <v>45</v>
      </c>
      <c r="D35" s="4">
        <v>30</v>
      </c>
      <c r="E35" s="4">
        <v>15</v>
      </c>
      <c r="F35" s="4">
        <v>0</v>
      </c>
      <c r="G35" s="4">
        <f>H35-C35</f>
        <v>75</v>
      </c>
      <c r="H35" s="4">
        <f t="shared" ref="H35:H43" si="13">I35*30</f>
        <v>120</v>
      </c>
      <c r="I35" s="4">
        <v>4</v>
      </c>
      <c r="J35" s="4" t="s">
        <v>14</v>
      </c>
      <c r="K35" s="73">
        <f t="shared" si="3"/>
        <v>105</v>
      </c>
      <c r="L35" s="73">
        <f t="shared" si="4"/>
        <v>60</v>
      </c>
      <c r="M35" s="73">
        <f t="shared" si="5"/>
        <v>45</v>
      </c>
      <c r="N35" s="7" t="str">
        <f>IF(O35=""," ",VLOOKUP(O35,'[8]2012 личен състав ОТД'!$A:$AO,2,FALSE))</f>
        <v xml:space="preserve"> </v>
      </c>
      <c r="O35" s="3"/>
      <c r="P35" s="7" t="str">
        <f>IF(O35=""," ",VLOOKUP(O35,'[8]2012 личен състав ОТД'!$A:$AO,13,FALSE))</f>
        <v xml:space="preserve"> </v>
      </c>
      <c r="Q35" s="7" t="str">
        <f>IF(O35=""," ",VLOOKUP(O35,'[8]2012 личен състав ОТД'!$A:$AO,12,FALSE))</f>
        <v xml:space="preserve"> </v>
      </c>
      <c r="R35" s="7" t="str">
        <f>IF(A35=""," ",VLOOKUP(A35,'Профилиращ лист'!A:B,2,FALSE))</f>
        <v>СПЕ</v>
      </c>
      <c r="T35" s="7" t="e">
        <f t="shared" ref="T35:T66" ca="1" si="14">Години-P35</f>
        <v>#VALUE!</v>
      </c>
    </row>
    <row r="36" spans="1:28" x14ac:dyDescent="0.25">
      <c r="A36" s="67" t="s">
        <v>31</v>
      </c>
      <c r="B36" s="4">
        <v>30</v>
      </c>
      <c r="C36" s="4">
        <v>45</v>
      </c>
      <c r="D36" s="4">
        <v>30</v>
      </c>
      <c r="E36" s="4">
        <v>15</v>
      </c>
      <c r="F36" s="4">
        <v>0</v>
      </c>
      <c r="G36" s="4">
        <f t="shared" ref="G36:G43" si="15">H36-C36</f>
        <v>45</v>
      </c>
      <c r="H36" s="4">
        <f t="shared" si="13"/>
        <v>90</v>
      </c>
      <c r="I36" s="4">
        <v>3</v>
      </c>
      <c r="J36" s="4" t="s">
        <v>12</v>
      </c>
      <c r="K36" s="73">
        <f t="shared" si="3"/>
        <v>75</v>
      </c>
      <c r="L36" s="73">
        <f t="shared" si="4"/>
        <v>60</v>
      </c>
      <c r="M36" s="73">
        <f t="shared" si="5"/>
        <v>15</v>
      </c>
      <c r="N36" s="7" t="str">
        <f>IF(O36=""," ",VLOOKUP(O36,'[8]2012 личен състав ОТД'!$A:$AO,2,FALSE))</f>
        <v>доц. д-р Елена Гетова</v>
      </c>
      <c r="O36" s="3" t="s">
        <v>468</v>
      </c>
      <c r="P36" s="7">
        <f>IF(O36=""," ",VLOOKUP(O36,'[8]2012 личен състав ОТД'!$A:$AO,13,FALSE))</f>
        <v>1969</v>
      </c>
      <c r="Q36" s="7" t="str">
        <f>IF(O36=""," ",VLOOKUP(O36,'[8]2012 личен състав ОТД'!$A:$AO,12,FALSE))</f>
        <v>ОТД</v>
      </c>
      <c r="R36" s="7" t="str">
        <f>IF(A36=""," ",VLOOKUP(A36,'Профилиращ лист'!A:B,2,FALSE))</f>
        <v>СПЕ</v>
      </c>
      <c r="T36" s="7">
        <f t="shared" ca="1" si="14"/>
        <v>44</v>
      </c>
    </row>
    <row r="37" spans="1:28" x14ac:dyDescent="0.25">
      <c r="A37" s="67" t="s">
        <v>40</v>
      </c>
      <c r="B37" s="8">
        <v>30</v>
      </c>
      <c r="C37" s="4">
        <v>45</v>
      </c>
      <c r="D37" s="4">
        <v>30</v>
      </c>
      <c r="E37" s="4">
        <v>15</v>
      </c>
      <c r="F37" s="4">
        <f>C37-D37-E37</f>
        <v>0</v>
      </c>
      <c r="G37" s="4">
        <f t="shared" si="15"/>
        <v>45</v>
      </c>
      <c r="H37" s="4">
        <f t="shared" si="13"/>
        <v>90</v>
      </c>
      <c r="I37" s="4">
        <v>3</v>
      </c>
      <c r="J37" s="4" t="s">
        <v>12</v>
      </c>
      <c r="K37" s="73">
        <f t="shared" si="3"/>
        <v>45</v>
      </c>
      <c r="L37" s="73">
        <f t="shared" si="4"/>
        <v>30</v>
      </c>
      <c r="M37" s="73">
        <f t="shared" si="5"/>
        <v>15</v>
      </c>
      <c r="N37" s="7" t="str">
        <f>IF(O37=""," ",VLOOKUP(O37,'[8]2012 личен състав ОТД'!$A:$AO,2,FALSE))</f>
        <v>проф. дфн Диана Иванова</v>
      </c>
      <c r="O37" s="3" t="str">
        <f>IF(A37=""," ",VLOOKUP(A37,'Български и испански език'!A:O,15,FALSE))</f>
        <v>диванова</v>
      </c>
      <c r="P37" s="7">
        <f>IF(O37=""," ",VLOOKUP(O37,'[8]2012 личен състав ОТД'!$A:$AO,13,FALSE))</f>
        <v>1950</v>
      </c>
      <c r="Q37" s="7" t="str">
        <f>IF(O37=""," ",VLOOKUP(O37,'[8]2012 личен състав ОТД'!$A:$AO,12,FALSE))</f>
        <v>ОТД</v>
      </c>
      <c r="R37" s="7" t="str">
        <f>IF(A37=""," ",VLOOKUP(A37,'Профилиращ лист'!A:B,2,FALSE))</f>
        <v>СПЕ</v>
      </c>
      <c r="T37" s="7">
        <f t="shared" ca="1" si="14"/>
        <v>63</v>
      </c>
    </row>
    <row r="38" spans="1:28" ht="17.100000000000001" hidden="1" customHeight="1" x14ac:dyDescent="0.25">
      <c r="A38" s="8" t="s">
        <v>161</v>
      </c>
      <c r="B38" s="4">
        <v>90</v>
      </c>
      <c r="C38" s="4">
        <v>75</v>
      </c>
      <c r="D38" s="4">
        <v>0</v>
      </c>
      <c r="E38" s="4">
        <v>0</v>
      </c>
      <c r="F38" s="4">
        <v>75</v>
      </c>
      <c r="G38" s="4">
        <f t="shared" si="15"/>
        <v>135</v>
      </c>
      <c r="H38" s="4">
        <f t="shared" si="13"/>
        <v>210</v>
      </c>
      <c r="I38" s="4">
        <v>7</v>
      </c>
      <c r="J38" s="4" t="s">
        <v>12</v>
      </c>
      <c r="K38" s="73">
        <f t="shared" si="3"/>
        <v>555</v>
      </c>
      <c r="L38" s="73">
        <f t="shared" si="4"/>
        <v>0</v>
      </c>
      <c r="M38" s="73">
        <f t="shared" si="5"/>
        <v>555</v>
      </c>
      <c r="N38" s="7" t="str">
        <f>IF(O38=""," ",VLOOKUP(O38,'[8]2012 личен състав ОТД'!$A:$AO,2,FALSE))</f>
        <v xml:space="preserve"> </v>
      </c>
      <c r="O38" s="3"/>
      <c r="P38" s="7" t="str">
        <f>IF(O38=""," ",VLOOKUP(O38,'[8]2012 личен състав ОТД'!$A:$AO,13,FALSE))</f>
        <v xml:space="preserve"> </v>
      </c>
      <c r="Q38" s="7" t="str">
        <f>IF(O38=""," ",VLOOKUP(O38,'[8]2012 личен състав ОТД'!$A:$AO,12,FALSE))</f>
        <v xml:space="preserve"> </v>
      </c>
      <c r="R38" s="7" t="e">
        <f>IF(A38=""," ",VLOOKUP(A38,'Профилиращ лист'!A:B,2,FALSE))</f>
        <v>#N/A</v>
      </c>
      <c r="T38" s="7" t="e">
        <f t="shared" ca="1" si="14"/>
        <v>#VALUE!</v>
      </c>
    </row>
    <row r="39" spans="1:28" x14ac:dyDescent="0.25">
      <c r="A39" s="67" t="s">
        <v>42</v>
      </c>
      <c r="B39" s="4">
        <v>60</v>
      </c>
      <c r="C39" s="4">
        <v>60</v>
      </c>
      <c r="D39" s="4">
        <v>60</v>
      </c>
      <c r="E39" s="4">
        <v>0</v>
      </c>
      <c r="F39" s="4">
        <v>0</v>
      </c>
      <c r="G39" s="4">
        <f t="shared" si="15"/>
        <v>60</v>
      </c>
      <c r="H39" s="4">
        <f t="shared" si="13"/>
        <v>120</v>
      </c>
      <c r="I39" s="4">
        <v>4</v>
      </c>
      <c r="J39" s="4" t="s">
        <v>12</v>
      </c>
      <c r="K39" s="73">
        <f t="shared" si="3"/>
        <v>60</v>
      </c>
      <c r="L39" s="73">
        <f t="shared" si="4"/>
        <v>60</v>
      </c>
      <c r="M39" s="73">
        <f t="shared" si="5"/>
        <v>0</v>
      </c>
      <c r="N39" s="7" t="str">
        <f>IF(O39=""," ",VLOOKUP(O39,'[8]2012 личен състав ОТД'!$A:$AO,2,FALSE))</f>
        <v>доц. д-р Николай Нейчев</v>
      </c>
      <c r="O39" s="3" t="str">
        <f>IF(A39=""," ",VLOOKUP(A39,'Български и испански език'!A:O,15,FALSE))</f>
        <v>нейчев</v>
      </c>
      <c r="P39" s="7">
        <f>IF(O39=""," ",VLOOKUP(O39,'[8]2012 личен състав ОТД'!$A:$AO,13,FALSE))</f>
        <v>1959</v>
      </c>
      <c r="Q39" s="7" t="str">
        <f>IF(O39=""," ",VLOOKUP(O39,'[8]2012 личен състав ОТД'!$A:$AO,12,FALSE))</f>
        <v>ОТД</v>
      </c>
      <c r="R39" s="7" t="str">
        <f>IF(A39=""," ",VLOOKUP(A39,'Профилиращ лист'!A:B,2,FALSE))</f>
        <v>ОФД</v>
      </c>
      <c r="T39" s="7">
        <f t="shared" ca="1" si="14"/>
        <v>54</v>
      </c>
    </row>
    <row r="40" spans="1:28" x14ac:dyDescent="0.25">
      <c r="A40" s="67" t="s">
        <v>164</v>
      </c>
      <c r="B40" s="8">
        <v>45</v>
      </c>
      <c r="C40" s="4">
        <v>45</v>
      </c>
      <c r="D40" s="4">
        <v>30</v>
      </c>
      <c r="E40" s="4">
        <v>15</v>
      </c>
      <c r="F40" s="4">
        <f>C40-D40-E40</f>
        <v>0</v>
      </c>
      <c r="G40" s="4">
        <f t="shared" si="15"/>
        <v>45</v>
      </c>
      <c r="H40" s="4">
        <f t="shared" si="13"/>
        <v>90</v>
      </c>
      <c r="I40" s="5">
        <v>3</v>
      </c>
      <c r="J40" s="6" t="s">
        <v>12</v>
      </c>
      <c r="K40" s="73">
        <f t="shared" si="3"/>
        <v>75</v>
      </c>
      <c r="L40" s="73">
        <f t="shared" si="4"/>
        <v>60</v>
      </c>
      <c r="M40" s="73">
        <f t="shared" si="5"/>
        <v>15</v>
      </c>
      <c r="N40" s="7" t="str">
        <f>IF(O40=""," ",VLOOKUP(O40,'[8]2012 личен състав ОТД'!$A:$AO,2,FALSE))</f>
        <v>доц. д-р Станка Козарова</v>
      </c>
      <c r="O40" s="3" t="s">
        <v>462</v>
      </c>
      <c r="P40" s="7">
        <f>IF(O40=""," ",VLOOKUP(O40,'[8]2012 личен състав ОТД'!$A:$AO,13,FALSE))</f>
        <v>1959</v>
      </c>
      <c r="Q40" s="7" t="str">
        <f>IF(O40=""," ",VLOOKUP(O40,'[8]2012 личен състав ОТД'!$A:$AO,12,FALSE))</f>
        <v>ОТД</v>
      </c>
      <c r="R40" s="7" t="s">
        <v>255</v>
      </c>
      <c r="T40" s="7">
        <f t="shared" ca="1" si="14"/>
        <v>54</v>
      </c>
    </row>
    <row r="41" spans="1:28" x14ac:dyDescent="0.25">
      <c r="A41" s="67" t="s">
        <v>166</v>
      </c>
      <c r="B41" s="4">
        <v>15</v>
      </c>
      <c r="C41" s="4">
        <v>30</v>
      </c>
      <c r="D41" s="4">
        <v>30</v>
      </c>
      <c r="E41" s="4">
        <v>0</v>
      </c>
      <c r="F41" s="4">
        <v>0</v>
      </c>
      <c r="G41" s="4">
        <f t="shared" si="15"/>
        <v>30</v>
      </c>
      <c r="H41" s="4">
        <f t="shared" si="13"/>
        <v>60</v>
      </c>
      <c r="I41" s="4">
        <v>2</v>
      </c>
      <c r="J41" s="4" t="s">
        <v>12</v>
      </c>
      <c r="K41" s="73">
        <f t="shared" si="3"/>
        <v>30</v>
      </c>
      <c r="L41" s="73">
        <f t="shared" si="4"/>
        <v>30</v>
      </c>
      <c r="M41" s="73">
        <f t="shared" si="5"/>
        <v>0</v>
      </c>
      <c r="N41" s="7" t="str">
        <f>IF(O41=""," ",VLOOKUP(O41,'[8]2012 личен състав ОТД'!$A:$AO,2,FALSE))</f>
        <v>проф. дин Кирил Павликянов</v>
      </c>
      <c r="O41" s="3" t="s">
        <v>510</v>
      </c>
      <c r="P41" s="7">
        <f>IF(O41=""," ",VLOOKUP(O41,'[8]2012 личен състав ОТД'!$A:$AO,13,FALSE))</f>
        <v>1964</v>
      </c>
      <c r="Q41" s="7" t="str">
        <f>IF(O41=""," ",VLOOKUP(O41,'[8]2012 личен състав ОТД'!$A:$AO,12,FALSE))</f>
        <v>ХОН</v>
      </c>
      <c r="R41" s="7" t="s">
        <v>272</v>
      </c>
      <c r="T41" s="7">
        <f t="shared" ca="1" si="14"/>
        <v>49</v>
      </c>
    </row>
    <row r="42" spans="1:28" ht="17.100000000000001" hidden="1" customHeight="1" x14ac:dyDescent="0.25">
      <c r="A42" s="8" t="s">
        <v>44</v>
      </c>
      <c r="B42" s="4">
        <v>30</v>
      </c>
      <c r="C42" s="4">
        <v>45</v>
      </c>
      <c r="D42" s="4">
        <v>30</v>
      </c>
      <c r="E42" s="4">
        <v>15</v>
      </c>
      <c r="F42" s="4">
        <v>0</v>
      </c>
      <c r="G42" s="4">
        <f t="shared" si="15"/>
        <v>15</v>
      </c>
      <c r="H42" s="4">
        <f t="shared" si="13"/>
        <v>60</v>
      </c>
      <c r="I42" s="4">
        <v>2</v>
      </c>
      <c r="J42" s="4" t="s">
        <v>14</v>
      </c>
      <c r="K42" s="73">
        <f t="shared" si="3"/>
        <v>90</v>
      </c>
      <c r="L42" s="73">
        <f t="shared" si="4"/>
        <v>60</v>
      </c>
      <c r="M42" s="73">
        <f t="shared" si="5"/>
        <v>30</v>
      </c>
      <c r="N42" s="7" t="str">
        <f>IF(O42=""," ",VLOOKUP(O42,'[8]2012 личен състав ОТД'!$A:$AO,2,FALSE))</f>
        <v xml:space="preserve"> </v>
      </c>
      <c r="O42" s="3"/>
      <c r="P42" s="7" t="str">
        <f>IF(O42=""," ",VLOOKUP(O42,'[8]2012 личен състав ОТД'!$A:$AO,13,FALSE))</f>
        <v xml:space="preserve"> </v>
      </c>
      <c r="Q42" s="7" t="str">
        <f>IF(O42=""," ",VLOOKUP(O42,'[8]2012 личен състав ОТД'!$A:$AO,12,FALSE))</f>
        <v xml:space="preserve"> </v>
      </c>
      <c r="R42" s="7" t="str">
        <f>IF(A42=""," ",VLOOKUP(A42,'Профилиращ лист'!A:B,2,FALSE))</f>
        <v>СПЕ</v>
      </c>
      <c r="T42" s="7" t="e">
        <f t="shared" ca="1" si="14"/>
        <v>#VALUE!</v>
      </c>
    </row>
    <row r="43" spans="1:28" ht="17.100000000000001" hidden="1" customHeight="1" x14ac:dyDescent="0.25">
      <c r="A43" s="8" t="s">
        <v>167</v>
      </c>
      <c r="B43" s="4">
        <v>30</v>
      </c>
      <c r="C43" s="4">
        <v>30</v>
      </c>
      <c r="D43" s="4">
        <v>15</v>
      </c>
      <c r="E43" s="4">
        <v>15</v>
      </c>
      <c r="F43" s="4">
        <v>0</v>
      </c>
      <c r="G43" s="4">
        <f t="shared" si="15"/>
        <v>30</v>
      </c>
      <c r="H43" s="4">
        <f t="shared" si="13"/>
        <v>60</v>
      </c>
      <c r="I43" s="4">
        <v>2</v>
      </c>
      <c r="J43" s="4" t="s">
        <v>14</v>
      </c>
      <c r="K43" s="73">
        <f t="shared" si="3"/>
        <v>75</v>
      </c>
      <c r="L43" s="73">
        <f t="shared" si="4"/>
        <v>45</v>
      </c>
      <c r="M43" s="73">
        <f t="shared" si="5"/>
        <v>30</v>
      </c>
      <c r="N43" s="7" t="str">
        <f>IF(O43=""," ",VLOOKUP(O43,'[8]2012 личен състав ОТД'!$A:$AO,2,FALSE))</f>
        <v xml:space="preserve"> </v>
      </c>
      <c r="O43" s="3"/>
      <c r="P43" s="7" t="str">
        <f>IF(O43=""," ",VLOOKUP(O43,'[8]2012 личен състав ОТД'!$A:$AO,13,FALSE))</f>
        <v xml:space="preserve"> </v>
      </c>
      <c r="Q43" s="7" t="str">
        <f>IF(O43=""," ",VLOOKUP(O43,'[8]2012 личен състав ОТД'!$A:$AO,12,FALSE))</f>
        <v xml:space="preserve"> </v>
      </c>
      <c r="R43" s="7" t="e">
        <f>IF(A43=""," ",VLOOKUP(A43,'Профилиращ лист'!A:B,2,FALSE))</f>
        <v>#N/A</v>
      </c>
      <c r="T43" s="7" t="e">
        <f t="shared" ca="1" si="14"/>
        <v>#VALUE!</v>
      </c>
      <c r="AB43" s="7" t="s">
        <v>574</v>
      </c>
    </row>
    <row r="44" spans="1:28" ht="15" hidden="1" customHeight="1" x14ac:dyDescent="0.25">
      <c r="A44" s="8"/>
      <c r="B44" s="9">
        <f t="shared" ref="B44:I44" si="16">SUM(B35:B43)</f>
        <v>375</v>
      </c>
      <c r="C44" s="9">
        <f t="shared" si="16"/>
        <v>420</v>
      </c>
      <c r="D44" s="9">
        <f t="shared" si="16"/>
        <v>255</v>
      </c>
      <c r="E44" s="9">
        <f t="shared" si="16"/>
        <v>90</v>
      </c>
      <c r="F44" s="9">
        <f t="shared" si="16"/>
        <v>75</v>
      </c>
      <c r="G44" s="9">
        <f t="shared" si="16"/>
        <v>480</v>
      </c>
      <c r="H44" s="9">
        <f t="shared" si="16"/>
        <v>900</v>
      </c>
      <c r="I44" s="9">
        <f t="shared" si="16"/>
        <v>30</v>
      </c>
      <c r="K44" s="73">
        <f t="shared" si="3"/>
        <v>0</v>
      </c>
      <c r="L44" s="73">
        <f t="shared" si="4"/>
        <v>0</v>
      </c>
      <c r="M44" s="73">
        <f t="shared" si="5"/>
        <v>0</v>
      </c>
      <c r="N44" s="7" t="str">
        <f>IF(O44=""," ",VLOOKUP(O44,'[8]2012 личен състав ОТД'!$A:$AO,2,FALSE))</f>
        <v xml:space="preserve"> </v>
      </c>
      <c r="O44" s="3"/>
      <c r="P44" s="7" t="str">
        <f>IF(O44=""," ",VLOOKUP(O44,'[8]2012 личен състав ОТД'!$A:$AO,13,FALSE))</f>
        <v xml:space="preserve"> </v>
      </c>
      <c r="Q44" s="7" t="str">
        <f>IF(O44=""," ",VLOOKUP(O44,'[8]2012 личен състав ОТД'!$A:$AO,12,FALSE))</f>
        <v xml:space="preserve"> </v>
      </c>
      <c r="R44" s="7" t="str">
        <f>IF(A44=""," ",VLOOKUP(A44,'Профилиращ лист'!A:B,2,FALSE))</f>
        <v xml:space="preserve"> </v>
      </c>
      <c r="T44" s="7" t="e">
        <f t="shared" ca="1" si="14"/>
        <v>#VALUE!</v>
      </c>
    </row>
    <row r="45" spans="1:28" ht="14.1" hidden="1" customHeight="1" x14ac:dyDescent="0.25">
      <c r="A45" s="1" t="s">
        <v>81</v>
      </c>
      <c r="B45" s="1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  <c r="H45" s="2" t="s">
        <v>7</v>
      </c>
      <c r="I45" s="2" t="s">
        <v>8</v>
      </c>
      <c r="J45" s="2" t="s">
        <v>9</v>
      </c>
      <c r="K45" s="73">
        <f t="shared" si="3"/>
        <v>0</v>
      </c>
      <c r="L45" s="73">
        <f t="shared" si="4"/>
        <v>0</v>
      </c>
      <c r="M45" s="73">
        <f t="shared" si="5"/>
        <v>0</v>
      </c>
      <c r="N45" s="7" t="str">
        <f>IF(O45=""," ",VLOOKUP(O45,'[8]2012 личен състав ОТД'!$A:$AO,2,FALSE))</f>
        <v xml:space="preserve"> </v>
      </c>
      <c r="O45" s="3"/>
      <c r="P45" s="7" t="str">
        <f>IF(O45=""," ",VLOOKUP(O45,'[8]2012 личен състав ОТД'!$A:$AO,13,FALSE))</f>
        <v xml:space="preserve"> </v>
      </c>
      <c r="Q45" s="7" t="str">
        <f>IF(O45=""," ",VLOOKUP(O45,'[8]2012 личен състав ОТД'!$A:$AO,12,FALSE))</f>
        <v xml:space="preserve"> </v>
      </c>
      <c r="R45" s="7" t="str">
        <f>IF(A45=""," ",VLOOKUP(A45,'Профилиращ лист'!A:B,2,FALSE))</f>
        <v>Тип</v>
      </c>
      <c r="T45" s="7" t="e">
        <f t="shared" ca="1" si="14"/>
        <v>#VALUE!</v>
      </c>
    </row>
    <row r="46" spans="1:28" ht="14.1" hidden="1" customHeight="1" x14ac:dyDescent="0.25">
      <c r="A46" s="1" t="s">
        <v>46</v>
      </c>
      <c r="B46" s="1"/>
      <c r="I46" s="13"/>
      <c r="J46" s="14"/>
      <c r="K46" s="73">
        <f t="shared" si="3"/>
        <v>0</v>
      </c>
      <c r="L46" s="73">
        <f t="shared" si="4"/>
        <v>0</v>
      </c>
      <c r="M46" s="73">
        <f t="shared" si="5"/>
        <v>0</v>
      </c>
      <c r="N46" s="7" t="str">
        <f>IF(O46=""," ",VLOOKUP(O46,'[8]2012 личен състав ОТД'!$A:$AO,2,FALSE))</f>
        <v xml:space="preserve"> </v>
      </c>
      <c r="O46" s="3"/>
      <c r="P46" s="7" t="str">
        <f>IF(O46=""," ",VLOOKUP(O46,'[8]2012 личен състав ОТД'!$A:$AO,13,FALSE))</f>
        <v xml:space="preserve"> </v>
      </c>
      <c r="Q46" s="7" t="str">
        <f>IF(O46=""," ",VLOOKUP(O46,'[8]2012 личен състав ОТД'!$A:$AO,12,FALSE))</f>
        <v xml:space="preserve"> </v>
      </c>
      <c r="R46" s="7" t="e">
        <f>IF(A46=""," ",VLOOKUP(A46,'Профилиращ лист'!A:B,2,FALSE))</f>
        <v>#N/A</v>
      </c>
      <c r="T46" s="7" t="e">
        <f t="shared" ca="1" si="14"/>
        <v>#VALUE!</v>
      </c>
    </row>
    <row r="47" spans="1:28" x14ac:dyDescent="0.25">
      <c r="A47" s="67" t="s">
        <v>39</v>
      </c>
      <c r="B47" s="4">
        <v>30</v>
      </c>
      <c r="C47" s="4">
        <v>60</v>
      </c>
      <c r="D47" s="4">
        <v>30</v>
      </c>
      <c r="E47" s="4">
        <v>30</v>
      </c>
      <c r="F47" s="4">
        <v>0</v>
      </c>
      <c r="G47" s="4">
        <f>H47-C47</f>
        <v>60</v>
      </c>
      <c r="H47" s="4">
        <f t="shared" ref="H47:H55" si="17">I47*30</f>
        <v>120</v>
      </c>
      <c r="I47" s="4">
        <v>4</v>
      </c>
      <c r="J47" s="4" t="s">
        <v>12</v>
      </c>
      <c r="K47" s="73">
        <f t="shared" si="3"/>
        <v>105</v>
      </c>
      <c r="L47" s="73">
        <f t="shared" si="4"/>
        <v>60</v>
      </c>
      <c r="M47" s="73">
        <f t="shared" si="5"/>
        <v>45</v>
      </c>
      <c r="N47" s="7" t="str">
        <f>IF(O47=""," ",VLOOKUP(O47,'[8]2012 личен състав ОТД'!$A:$AO,2,FALSE))</f>
        <v>доц. д-р Светла Черпокова-Захариева</v>
      </c>
      <c r="O47" s="3" t="s">
        <v>472</v>
      </c>
      <c r="P47" s="7">
        <f>IF(O47=""," ",VLOOKUP(O47,'[8]2012 личен състав ОТД'!$A:$AO,13,FALSE))</f>
        <v>1967</v>
      </c>
      <c r="Q47" s="7" t="str">
        <f>IF(O47=""," ",VLOOKUP(O47,'[8]2012 личен състав ОТД'!$A:$AO,12,FALSE))</f>
        <v>ОТД</v>
      </c>
      <c r="R47" s="7" t="str">
        <f>IF(A47=""," ",VLOOKUP(A47,'Профилиращ лист'!A:B,2,FALSE))</f>
        <v>СПЕ</v>
      </c>
      <c r="T47" s="7">
        <f t="shared" ca="1" si="14"/>
        <v>46</v>
      </c>
    </row>
    <row r="48" spans="1:28" ht="14.1" hidden="1" customHeight="1" x14ac:dyDescent="0.25">
      <c r="A48" s="8" t="s">
        <v>47</v>
      </c>
      <c r="B48" s="4">
        <v>30</v>
      </c>
      <c r="C48" s="4">
        <v>30</v>
      </c>
      <c r="D48" s="4">
        <v>30</v>
      </c>
      <c r="E48" s="4">
        <v>0</v>
      </c>
      <c r="F48" s="4">
        <v>0</v>
      </c>
      <c r="G48" s="4">
        <f t="shared" ref="G48:G55" si="18">H48-C48</f>
        <v>30</v>
      </c>
      <c r="H48" s="4">
        <f t="shared" si="17"/>
        <v>60</v>
      </c>
      <c r="I48" s="4">
        <v>2</v>
      </c>
      <c r="J48" s="4" t="s">
        <v>14</v>
      </c>
      <c r="K48" s="73">
        <f t="shared" si="3"/>
        <v>90</v>
      </c>
      <c r="L48" s="73">
        <f t="shared" si="4"/>
        <v>60</v>
      </c>
      <c r="M48" s="73">
        <f t="shared" si="5"/>
        <v>30</v>
      </c>
      <c r="N48" s="7" t="str">
        <f>IF(O48=""," ",VLOOKUP(O48,'[8]2012 личен състав ОТД'!$A:$AO,2,FALSE))</f>
        <v xml:space="preserve"> </v>
      </c>
      <c r="O48" s="3"/>
      <c r="P48" s="7" t="str">
        <f>IF(O48=""," ",VLOOKUP(O48,'[8]2012 личен състав ОТД'!$A:$AO,13,FALSE))</f>
        <v xml:space="preserve"> </v>
      </c>
      <c r="Q48" s="7" t="str">
        <f>IF(O48=""," ",VLOOKUP(O48,'[8]2012 личен състав ОТД'!$A:$AO,12,FALSE))</f>
        <v xml:space="preserve"> </v>
      </c>
      <c r="R48" s="7" t="str">
        <f>IF(A48=""," ",VLOOKUP(A48,'Профилиращ лист'!A:B,2,FALSE))</f>
        <v>СПЕ</v>
      </c>
      <c r="T48" s="7" t="e">
        <f t="shared" ca="1" si="14"/>
        <v>#VALUE!</v>
      </c>
    </row>
    <row r="49" spans="1:189" ht="14.1" hidden="1" customHeight="1" x14ac:dyDescent="0.25">
      <c r="A49" s="8" t="s">
        <v>168</v>
      </c>
      <c r="B49" s="8">
        <v>30</v>
      </c>
      <c r="C49" s="4">
        <v>30</v>
      </c>
      <c r="D49" s="4">
        <v>30</v>
      </c>
      <c r="E49" s="4">
        <v>0</v>
      </c>
      <c r="F49" s="4">
        <f>C49-D49-E49</f>
        <v>0</v>
      </c>
      <c r="G49" s="4">
        <f t="shared" si="18"/>
        <v>30</v>
      </c>
      <c r="H49" s="4">
        <f t="shared" si="17"/>
        <v>60</v>
      </c>
      <c r="I49" s="5">
        <v>2</v>
      </c>
      <c r="J49" s="4" t="s">
        <v>14</v>
      </c>
      <c r="K49" s="73">
        <f t="shared" si="3"/>
        <v>75</v>
      </c>
      <c r="L49" s="73">
        <f t="shared" si="4"/>
        <v>60</v>
      </c>
      <c r="M49" s="73">
        <f t="shared" si="5"/>
        <v>15</v>
      </c>
      <c r="N49" s="7" t="str">
        <f>IF(O49=""," ",VLOOKUP(O49,'[8]2012 личен състав ОТД'!$A:$AO,2,FALSE))</f>
        <v xml:space="preserve"> </v>
      </c>
      <c r="O49" s="3"/>
      <c r="P49" s="7" t="str">
        <f>IF(O49=""," ",VLOOKUP(O49,'[8]2012 личен състав ОТД'!$A:$AO,13,FALSE))</f>
        <v xml:space="preserve"> </v>
      </c>
      <c r="Q49" s="7" t="str">
        <f>IF(O49=""," ",VLOOKUP(O49,'[8]2012 личен състав ОТД'!$A:$AO,12,FALSE))</f>
        <v xml:space="preserve"> </v>
      </c>
      <c r="R49" s="7" t="e">
        <f>IF(A49=""," ",VLOOKUP(A49,'Профилиращ лист'!A:B,2,FALSE))</f>
        <v>#N/A</v>
      </c>
      <c r="T49" s="7" t="e">
        <f t="shared" ca="1" si="14"/>
        <v>#VALUE!</v>
      </c>
    </row>
    <row r="50" spans="1:189" ht="14.1" hidden="1" customHeight="1" x14ac:dyDescent="0.25">
      <c r="A50" s="8" t="s">
        <v>49</v>
      </c>
      <c r="B50" s="4">
        <v>45</v>
      </c>
      <c r="C50" s="4">
        <v>30</v>
      </c>
      <c r="D50" s="4">
        <v>30</v>
      </c>
      <c r="E50" s="4">
        <v>0</v>
      </c>
      <c r="F50" s="4">
        <v>0</v>
      </c>
      <c r="G50" s="4">
        <f t="shared" si="18"/>
        <v>30</v>
      </c>
      <c r="H50" s="4">
        <f t="shared" si="17"/>
        <v>60</v>
      </c>
      <c r="I50" s="4">
        <v>2</v>
      </c>
      <c r="J50" s="4" t="s">
        <v>14</v>
      </c>
      <c r="K50" s="73">
        <f t="shared" si="3"/>
        <v>75</v>
      </c>
      <c r="L50" s="73">
        <f t="shared" si="4"/>
        <v>60</v>
      </c>
      <c r="M50" s="73">
        <f t="shared" si="5"/>
        <v>15</v>
      </c>
      <c r="N50" s="7" t="str">
        <f>IF(O50=""," ",VLOOKUP(O50,'[8]2012 личен състав ОТД'!$A:$AO,2,FALSE))</f>
        <v xml:space="preserve"> </v>
      </c>
      <c r="O50" s="3"/>
      <c r="P50" s="7" t="str">
        <f>IF(O50=""," ",VLOOKUP(O50,'[8]2012 личен състав ОТД'!$A:$AO,13,FALSE))</f>
        <v xml:space="preserve"> </v>
      </c>
      <c r="Q50" s="7" t="str">
        <f>IF(O50=""," ",VLOOKUP(O50,'[8]2012 личен състав ОТД'!$A:$AO,12,FALSE))</f>
        <v xml:space="preserve"> </v>
      </c>
      <c r="R50" s="7" t="str">
        <f>IF(A50=""," ",VLOOKUP(A50,'Профилиращ лист'!A:B,2,FALSE))</f>
        <v>ОФД</v>
      </c>
      <c r="T50" s="7" t="e">
        <f t="shared" ca="1" si="14"/>
        <v>#VALUE!</v>
      </c>
    </row>
    <row r="51" spans="1:189" ht="14.1" hidden="1" customHeight="1" x14ac:dyDescent="0.25">
      <c r="A51" s="8" t="s">
        <v>161</v>
      </c>
      <c r="B51" s="4">
        <v>90</v>
      </c>
      <c r="C51" s="4">
        <v>105</v>
      </c>
      <c r="D51" s="4">
        <v>0</v>
      </c>
      <c r="E51" s="4">
        <v>0</v>
      </c>
      <c r="F51" s="4">
        <v>105</v>
      </c>
      <c r="G51" s="4">
        <f t="shared" si="18"/>
        <v>105</v>
      </c>
      <c r="H51" s="4">
        <f t="shared" si="17"/>
        <v>210</v>
      </c>
      <c r="I51" s="4">
        <v>7</v>
      </c>
      <c r="J51" s="4" t="s">
        <v>14</v>
      </c>
      <c r="K51" s="73">
        <f t="shared" si="3"/>
        <v>555</v>
      </c>
      <c r="L51" s="73">
        <f t="shared" si="4"/>
        <v>0</v>
      </c>
      <c r="M51" s="73">
        <f t="shared" si="5"/>
        <v>555</v>
      </c>
      <c r="N51" s="7" t="str">
        <f>IF(O51=""," ",VLOOKUP(O51,'[8]2012 личен състав ОТД'!$A:$AO,2,FALSE))</f>
        <v xml:space="preserve"> </v>
      </c>
      <c r="O51" s="3"/>
      <c r="P51" s="7" t="str">
        <f>IF(O51=""," ",VLOOKUP(O51,'[8]2012 личен състав ОТД'!$A:$AO,13,FALSE))</f>
        <v xml:space="preserve"> </v>
      </c>
      <c r="Q51" s="7" t="str">
        <f>IF(O51=""," ",VLOOKUP(O51,'[8]2012 личен състав ОТД'!$A:$AO,12,FALSE))</f>
        <v xml:space="preserve"> </v>
      </c>
      <c r="R51" s="7" t="e">
        <f>IF(A51=""," ",VLOOKUP(A51,'Профилиращ лист'!A:B,2,FALSE))</f>
        <v>#N/A</v>
      </c>
      <c r="T51" s="7" t="e">
        <f t="shared" ca="1" si="14"/>
        <v>#VALUE!</v>
      </c>
    </row>
    <row r="52" spans="1:189" x14ac:dyDescent="0.25">
      <c r="A52" s="67" t="s">
        <v>169</v>
      </c>
      <c r="B52" s="4">
        <v>30</v>
      </c>
      <c r="C52" s="4">
        <v>30</v>
      </c>
      <c r="D52" s="4">
        <v>30</v>
      </c>
      <c r="E52" s="4">
        <v>0</v>
      </c>
      <c r="F52" s="4">
        <v>0</v>
      </c>
      <c r="G52" s="4">
        <f>H52-C52</f>
        <v>60</v>
      </c>
      <c r="H52" s="4">
        <f>I52*30</f>
        <v>90</v>
      </c>
      <c r="I52" s="4">
        <v>3</v>
      </c>
      <c r="J52" s="4" t="s">
        <v>12</v>
      </c>
      <c r="K52" s="73">
        <f t="shared" si="3"/>
        <v>30</v>
      </c>
      <c r="L52" s="73">
        <f t="shared" si="4"/>
        <v>30</v>
      </c>
      <c r="M52" s="73">
        <f t="shared" si="5"/>
        <v>0</v>
      </c>
      <c r="N52" s="7" t="str">
        <f>IF(O52=""," ",VLOOKUP(O52,'[8]2012 личен състав ОТД'!$A:$AO,2,FALSE))</f>
        <v>доц. д-р Станка Козарова</v>
      </c>
      <c r="O52" s="3" t="s">
        <v>462</v>
      </c>
      <c r="P52" s="7">
        <f>IF(O52=""," ",VLOOKUP(O52,'[8]2012 личен състав ОТД'!$A:$AO,13,FALSE))</f>
        <v>1959</v>
      </c>
      <c r="Q52" s="7" t="str">
        <f>IF(O52=""," ",VLOOKUP(O52,'[8]2012 личен състав ОТД'!$A:$AO,12,FALSE))</f>
        <v>ОТД</v>
      </c>
      <c r="R52" s="7" t="s">
        <v>272</v>
      </c>
      <c r="T52" s="7">
        <f t="shared" ca="1" si="14"/>
        <v>54</v>
      </c>
    </row>
    <row r="53" spans="1:189" x14ac:dyDescent="0.25">
      <c r="A53" s="67" t="s">
        <v>44</v>
      </c>
      <c r="B53" s="4">
        <v>45</v>
      </c>
      <c r="C53" s="4">
        <v>45</v>
      </c>
      <c r="D53" s="4">
        <v>30</v>
      </c>
      <c r="E53" s="4">
        <v>15</v>
      </c>
      <c r="F53" s="4">
        <v>0</v>
      </c>
      <c r="G53" s="4">
        <f t="shared" si="18"/>
        <v>45</v>
      </c>
      <c r="H53" s="4">
        <f t="shared" si="17"/>
        <v>90</v>
      </c>
      <c r="I53" s="4">
        <v>3</v>
      </c>
      <c r="J53" s="4" t="s">
        <v>12</v>
      </c>
      <c r="K53" s="73">
        <f t="shared" si="3"/>
        <v>90</v>
      </c>
      <c r="L53" s="73">
        <f t="shared" si="4"/>
        <v>60</v>
      </c>
      <c r="M53" s="73">
        <f t="shared" si="5"/>
        <v>30</v>
      </c>
      <c r="N53" s="7" t="str">
        <f>IF(O53=""," ",VLOOKUP(O53,'[8]2012 личен състав ОТД'!$A:$AO,2,FALSE))</f>
        <v>доц. д-р Константин Куцаров</v>
      </c>
      <c r="O53" s="3" t="s">
        <v>491</v>
      </c>
      <c r="P53" s="7">
        <f>IF(O53=""," ",VLOOKUP(O53,'[8]2012 личен състав ОТД'!$A:$AO,13,FALSE))</f>
        <v>1968</v>
      </c>
      <c r="Q53" s="7" t="str">
        <f>IF(O53=""," ",VLOOKUP(O53,'[8]2012 личен състав ОТД'!$A:$AO,12,FALSE))</f>
        <v>ОТД</v>
      </c>
      <c r="R53" s="7" t="str">
        <f>IF(A53=""," ",VLOOKUP(A53,'Профилиращ лист'!A:B,2,FALSE))</f>
        <v>СПЕ</v>
      </c>
      <c r="T53" s="7">
        <f t="shared" ca="1" si="14"/>
        <v>45</v>
      </c>
    </row>
    <row r="54" spans="1:189" ht="14.1" hidden="1" customHeight="1" x14ac:dyDescent="0.25">
      <c r="A54" s="8" t="s">
        <v>170</v>
      </c>
      <c r="B54" s="4">
        <v>30</v>
      </c>
      <c r="C54" s="4">
        <v>30</v>
      </c>
      <c r="D54" s="4">
        <v>0</v>
      </c>
      <c r="E54" s="4">
        <v>0</v>
      </c>
      <c r="F54" s="4">
        <v>30</v>
      </c>
      <c r="G54" s="4">
        <f>H54-C54</f>
        <v>60</v>
      </c>
      <c r="H54" s="4">
        <f>I54*30</f>
        <v>90</v>
      </c>
      <c r="I54" s="4">
        <v>3</v>
      </c>
      <c r="J54" s="4" t="s">
        <v>18</v>
      </c>
      <c r="K54" s="73">
        <f t="shared" si="3"/>
        <v>30</v>
      </c>
      <c r="L54" s="73">
        <f t="shared" si="4"/>
        <v>0</v>
      </c>
      <c r="M54" s="73">
        <f t="shared" si="5"/>
        <v>30</v>
      </c>
      <c r="N54" s="7" t="str">
        <f>IF(O54=""," ",VLOOKUP(O54,'[8]2012 личен състав ОТД'!$A:$AO,2,FALSE))</f>
        <v xml:space="preserve"> </v>
      </c>
      <c r="O54" s="3"/>
      <c r="P54" s="7" t="str">
        <f>IF(O54=""," ",VLOOKUP(O54,'[8]2012 личен състав ОТД'!$A:$AO,13,FALSE))</f>
        <v xml:space="preserve"> </v>
      </c>
      <c r="Q54" s="7" t="str">
        <f>IF(O54=""," ",VLOOKUP(O54,'[8]2012 личен състав ОТД'!$A:$AO,12,FALSE))</f>
        <v xml:space="preserve"> </v>
      </c>
      <c r="R54" s="7" t="e">
        <f>IF(A54=""," ",VLOOKUP(A54,'Профилиращ лист'!A:B,2,FALSE))</f>
        <v>#N/A</v>
      </c>
      <c r="T54" s="7" t="e">
        <f t="shared" ca="1" si="14"/>
        <v>#VALUE!</v>
      </c>
    </row>
    <row r="55" spans="1:189" x14ac:dyDescent="0.25">
      <c r="A55" s="67" t="s">
        <v>167</v>
      </c>
      <c r="C55" s="4">
        <v>45</v>
      </c>
      <c r="D55" s="4">
        <v>30</v>
      </c>
      <c r="E55" s="4">
        <v>15</v>
      </c>
      <c r="F55" s="4">
        <f>C55-D55-E55</f>
        <v>0</v>
      </c>
      <c r="G55" s="4">
        <f t="shared" si="18"/>
        <v>75</v>
      </c>
      <c r="H55" s="4">
        <f t="shared" si="17"/>
        <v>120</v>
      </c>
      <c r="I55" s="5">
        <v>4</v>
      </c>
      <c r="J55" s="6" t="s">
        <v>12</v>
      </c>
      <c r="K55" s="73">
        <f t="shared" si="3"/>
        <v>75</v>
      </c>
      <c r="L55" s="73">
        <f t="shared" si="4"/>
        <v>45</v>
      </c>
      <c r="M55" s="73">
        <f t="shared" si="5"/>
        <v>30</v>
      </c>
      <c r="N55" s="7" t="str">
        <f>IF(O55=""," ",VLOOKUP(O55,'[8]2012 личен състав ОТД'!$A:$AO,2,FALSE))</f>
        <v>проф. д-р Стойна Пороманска</v>
      </c>
      <c r="O55" s="3" t="s">
        <v>509</v>
      </c>
      <c r="P55" s="7">
        <f>IF(O55=""," ",VLOOKUP(O55,'[8]2012 личен състав ОТД'!$A:$AO,13,FALSE))</f>
        <v>1939</v>
      </c>
      <c r="Q55" s="7" t="str">
        <f>IF(O55=""," ",VLOOKUP(O55,'[8]2012 личен състав ОТД'!$A:$AO,12,FALSE))</f>
        <v>ОТД</v>
      </c>
      <c r="R55" s="7" t="s">
        <v>255</v>
      </c>
      <c r="T55" s="7">
        <f t="shared" ca="1" si="14"/>
        <v>74</v>
      </c>
    </row>
    <row r="56" spans="1:189" ht="14.1" hidden="1" customHeight="1" x14ac:dyDescent="0.25">
      <c r="A56" s="8"/>
      <c r="B56" s="9">
        <f t="shared" ref="B56:I56" si="19">SUM(B47:B55)</f>
        <v>330</v>
      </c>
      <c r="C56" s="9">
        <f t="shared" si="19"/>
        <v>405</v>
      </c>
      <c r="D56" s="9">
        <f t="shared" si="19"/>
        <v>210</v>
      </c>
      <c r="E56" s="9">
        <f t="shared" si="19"/>
        <v>60</v>
      </c>
      <c r="F56" s="9">
        <f t="shared" si="19"/>
        <v>135</v>
      </c>
      <c r="G56" s="9">
        <f t="shared" si="19"/>
        <v>495</v>
      </c>
      <c r="H56" s="9">
        <f t="shared" si="19"/>
        <v>900</v>
      </c>
      <c r="I56" s="9">
        <f t="shared" si="19"/>
        <v>30</v>
      </c>
      <c r="J56" s="6"/>
      <c r="K56" s="73">
        <f t="shared" si="3"/>
        <v>0</v>
      </c>
      <c r="L56" s="73">
        <f t="shared" si="4"/>
        <v>0</v>
      </c>
      <c r="M56" s="73">
        <f t="shared" si="5"/>
        <v>0</v>
      </c>
      <c r="N56" s="7" t="str">
        <f>IF(O56=""," ",VLOOKUP(O56,'[8]2012 личен състав ОТД'!$A:$AO,2,FALSE))</f>
        <v xml:space="preserve"> </v>
      </c>
      <c r="O56" s="3"/>
      <c r="P56" s="7" t="str">
        <f>IF(O56=""," ",VLOOKUP(O56,'[8]2012 личен състав ОТД'!$A:$AO,13,FALSE))</f>
        <v xml:space="preserve"> </v>
      </c>
      <c r="Q56" s="7" t="str">
        <f>IF(O56=""," ",VLOOKUP(O56,'[8]2012 личен състав ОТД'!$A:$AO,12,FALSE))</f>
        <v xml:space="preserve"> </v>
      </c>
      <c r="R56" s="7" t="str">
        <f>IF(A56=""," ",VLOOKUP(A56,'Профилиращ лист'!A:B,2,FALSE))</f>
        <v xml:space="preserve"> </v>
      </c>
      <c r="T56" s="7" t="e">
        <f t="shared" ca="1" si="14"/>
        <v>#VALUE!</v>
      </c>
    </row>
    <row r="57" spans="1:189" ht="14.1" hidden="1" customHeight="1" x14ac:dyDescent="0.25">
      <c r="A57" s="1" t="s">
        <v>51</v>
      </c>
      <c r="B57" s="1"/>
      <c r="J57" s="14"/>
      <c r="K57" s="73">
        <f t="shared" si="3"/>
        <v>0</v>
      </c>
      <c r="L57" s="73">
        <f t="shared" si="4"/>
        <v>0</v>
      </c>
      <c r="M57" s="73">
        <f t="shared" si="5"/>
        <v>0</v>
      </c>
      <c r="N57" s="7" t="str">
        <f>IF(O57=""," ",VLOOKUP(O57,'[8]2012 личен състав ОТД'!$A:$AO,2,FALSE))</f>
        <v xml:space="preserve"> </v>
      </c>
      <c r="O57" s="3"/>
      <c r="P57" s="7" t="str">
        <f>IF(O57=""," ",VLOOKUP(O57,'[8]2012 личен състав ОТД'!$A:$AO,13,FALSE))</f>
        <v xml:space="preserve"> </v>
      </c>
      <c r="Q57" s="7" t="str">
        <f>IF(O57=""," ",VLOOKUP(O57,'[8]2012 личен състав ОТД'!$A:$AO,12,FALSE))</f>
        <v xml:space="preserve"> </v>
      </c>
      <c r="R57" s="7" t="e">
        <f>IF(A57=""," ",VLOOKUP(A57,'Профилиращ лист'!A:B,2,FALSE))</f>
        <v>#N/A</v>
      </c>
      <c r="T57" s="7" t="e">
        <f t="shared" ca="1" si="14"/>
        <v>#VALUE!</v>
      </c>
    </row>
    <row r="58" spans="1:189" x14ac:dyDescent="0.25">
      <c r="A58" s="67" t="s">
        <v>47</v>
      </c>
      <c r="B58" s="4">
        <v>45</v>
      </c>
      <c r="C58" s="4">
        <v>60</v>
      </c>
      <c r="D58" s="4">
        <v>30</v>
      </c>
      <c r="E58" s="4">
        <v>30</v>
      </c>
      <c r="F58" s="4">
        <v>0</v>
      </c>
      <c r="G58" s="4">
        <f>H58-C58</f>
        <v>90</v>
      </c>
      <c r="H58" s="4">
        <f t="shared" ref="H58:H64" si="20">I58*30</f>
        <v>150</v>
      </c>
      <c r="I58" s="4">
        <v>5</v>
      </c>
      <c r="J58" s="4" t="s">
        <v>12</v>
      </c>
      <c r="K58" s="73">
        <f t="shared" si="3"/>
        <v>90</v>
      </c>
      <c r="L58" s="73">
        <f t="shared" si="4"/>
        <v>60</v>
      </c>
      <c r="M58" s="73">
        <f t="shared" si="5"/>
        <v>30</v>
      </c>
      <c r="N58" s="7" t="str">
        <f>IF(O58=""," ",VLOOKUP(O58,'[8]2012 личен състав ОТД'!$A:$AO,2,FALSE))</f>
        <v>доц. д-р Иван Русков</v>
      </c>
      <c r="O58" s="3" t="s">
        <v>492</v>
      </c>
      <c r="P58" s="7">
        <f>IF(O58=""," ",VLOOKUP(O58,'[8]2012 личен състав ОТД'!$A:$AO,13,FALSE))</f>
        <v>1960</v>
      </c>
      <c r="Q58" s="7" t="str">
        <f>IF(O58=""," ",VLOOKUP(O58,'[8]2012 личен състав ОТД'!$A:$AO,12,FALSE))</f>
        <v>ОТД</v>
      </c>
      <c r="R58" s="7" t="str">
        <f>IF(A58=""," ",VLOOKUP(A58,'Профилиращ лист'!A:B,2,FALSE))</f>
        <v>СПЕ</v>
      </c>
      <c r="T58" s="7">
        <f t="shared" ca="1" si="14"/>
        <v>53</v>
      </c>
      <c r="GG58" s="7">
        <f t="shared" ref="GG58:GG63" ca="1" si="21">SUM(C58:GF58)</f>
        <v>2558</v>
      </c>
    </row>
    <row r="59" spans="1:189" x14ac:dyDescent="0.25">
      <c r="A59" s="67" t="s">
        <v>168</v>
      </c>
      <c r="B59" s="8">
        <v>45</v>
      </c>
      <c r="C59" s="4">
        <v>45</v>
      </c>
      <c r="D59" s="4">
        <v>30</v>
      </c>
      <c r="E59" s="4">
        <v>15</v>
      </c>
      <c r="F59" s="4">
        <f>C59-D59-E59</f>
        <v>0</v>
      </c>
      <c r="G59" s="4">
        <f t="shared" ref="G59:G64" si="22">H59-C59</f>
        <v>45</v>
      </c>
      <c r="H59" s="4">
        <f t="shared" si="20"/>
        <v>90</v>
      </c>
      <c r="I59" s="5">
        <v>3</v>
      </c>
      <c r="J59" s="6" t="s">
        <v>12</v>
      </c>
      <c r="K59" s="73">
        <f t="shared" si="3"/>
        <v>75</v>
      </c>
      <c r="L59" s="73">
        <f t="shared" si="4"/>
        <v>60</v>
      </c>
      <c r="M59" s="73">
        <f t="shared" si="5"/>
        <v>15</v>
      </c>
      <c r="N59" s="7" t="str">
        <f>IF(O59=""," ",VLOOKUP(O59,'[8]2012 личен състав ОТД'!$A:$AO,2,FALSE))</f>
        <v>проф. дин Кирил Павликянов</v>
      </c>
      <c r="O59" s="3" t="s">
        <v>510</v>
      </c>
      <c r="P59" s="7">
        <f>IF(O59=""," ",VLOOKUP(O59,'[8]2012 личен състав ОТД'!$A:$AO,13,FALSE))</f>
        <v>1964</v>
      </c>
      <c r="Q59" s="7" t="str">
        <f>IF(O59=""," ",VLOOKUP(O59,'[8]2012 личен състав ОТД'!$A:$AO,12,FALSE))</f>
        <v>ХОН</v>
      </c>
      <c r="R59" s="7" t="s">
        <v>255</v>
      </c>
      <c r="T59" s="7">
        <f t="shared" ca="1" si="14"/>
        <v>49</v>
      </c>
      <c r="GG59" s="7">
        <f t="shared" ca="1" si="21"/>
        <v>2391</v>
      </c>
    </row>
    <row r="60" spans="1:189" x14ac:dyDescent="0.25">
      <c r="A60" s="67" t="s">
        <v>49</v>
      </c>
      <c r="B60" s="4">
        <v>45</v>
      </c>
      <c r="C60" s="4">
        <v>45</v>
      </c>
      <c r="D60" s="4">
        <v>30</v>
      </c>
      <c r="E60" s="4">
        <v>15</v>
      </c>
      <c r="F60" s="4">
        <v>0</v>
      </c>
      <c r="G60" s="4">
        <f t="shared" si="22"/>
        <v>45</v>
      </c>
      <c r="H60" s="4">
        <f t="shared" si="20"/>
        <v>90</v>
      </c>
      <c r="I60" s="4">
        <v>3</v>
      </c>
      <c r="J60" s="4" t="s">
        <v>12</v>
      </c>
      <c r="K60" s="73">
        <f t="shared" si="3"/>
        <v>75</v>
      </c>
      <c r="L60" s="73">
        <f t="shared" si="4"/>
        <v>60</v>
      </c>
      <c r="M60" s="73">
        <f t="shared" si="5"/>
        <v>15</v>
      </c>
      <c r="N60" s="7" t="str">
        <f>IF(O60=""," ",VLOOKUP(O60,'[8]2012 личен състав ОТД'!$A:$AO,2,FALSE))</f>
        <v>доц. д-р Христина Тончева</v>
      </c>
      <c r="O60" s="3" t="s">
        <v>461</v>
      </c>
      <c r="P60" s="7">
        <f>IF(O60=""," ",VLOOKUP(O60,'[8]2012 личен състав ОТД'!$A:$AO,13,FALSE))</f>
        <v>1968</v>
      </c>
      <c r="Q60" s="7" t="str">
        <f>IF(O60=""," ",VLOOKUP(O60,'[8]2012 личен състав ОТД'!$A:$AO,12,FALSE))</f>
        <v>ОТД</v>
      </c>
      <c r="R60" s="7" t="str">
        <f>IF(A60=""," ",VLOOKUP(A60,'Профилиращ лист'!A:B,2,FALSE))</f>
        <v>ОФД</v>
      </c>
      <c r="T60" s="7">
        <f t="shared" ca="1" si="14"/>
        <v>45</v>
      </c>
      <c r="GG60" s="7">
        <f t="shared" ca="1" si="21"/>
        <v>2391</v>
      </c>
    </row>
    <row r="61" spans="1:189" x14ac:dyDescent="0.25">
      <c r="A61" s="67" t="s">
        <v>171</v>
      </c>
      <c r="B61" s="4">
        <v>45</v>
      </c>
      <c r="C61" s="4">
        <v>15</v>
      </c>
      <c r="D61" s="4">
        <v>15</v>
      </c>
      <c r="E61" s="4">
        <v>0</v>
      </c>
      <c r="F61" s="4">
        <v>0</v>
      </c>
      <c r="G61" s="4">
        <f t="shared" si="22"/>
        <v>45</v>
      </c>
      <c r="H61" s="4">
        <f t="shared" si="20"/>
        <v>60</v>
      </c>
      <c r="I61" s="4">
        <v>2</v>
      </c>
      <c r="J61" s="4" t="s">
        <v>12</v>
      </c>
      <c r="K61" s="73">
        <f t="shared" si="3"/>
        <v>15</v>
      </c>
      <c r="L61" s="73">
        <f t="shared" si="4"/>
        <v>15</v>
      </c>
      <c r="M61" s="73">
        <f t="shared" si="5"/>
        <v>0</v>
      </c>
      <c r="N61" s="7" t="str">
        <f>IF(O61=""," ",VLOOKUP(O61,'[8]2012 личен състав ОТД'!$A:$AO,2,FALSE))</f>
        <v>проф. д-р Стойна Пороманска</v>
      </c>
      <c r="O61" s="3" t="s">
        <v>509</v>
      </c>
      <c r="P61" s="7">
        <f>IF(O61=""," ",VLOOKUP(O61,'[8]2012 личен състав ОТД'!$A:$AO,13,FALSE))</f>
        <v>1939</v>
      </c>
      <c r="Q61" s="7" t="str">
        <f>IF(O61=""," ",VLOOKUP(O61,'[8]2012 личен състав ОТД'!$A:$AO,12,FALSE))</f>
        <v>ОТД</v>
      </c>
      <c r="R61" s="7" t="s">
        <v>255</v>
      </c>
      <c r="T61" s="7">
        <f t="shared" ca="1" si="14"/>
        <v>74</v>
      </c>
      <c r="GG61" s="7">
        <f t="shared" ca="1" si="21"/>
        <v>2180</v>
      </c>
    </row>
    <row r="62" spans="1:189" ht="14.1" hidden="1" customHeight="1" x14ac:dyDescent="0.25">
      <c r="A62" s="8" t="s">
        <v>172</v>
      </c>
      <c r="B62" s="4">
        <v>90</v>
      </c>
      <c r="C62" s="4">
        <v>105</v>
      </c>
      <c r="D62" s="4">
        <v>0</v>
      </c>
      <c r="E62" s="4">
        <v>0</v>
      </c>
      <c r="F62" s="4">
        <v>105</v>
      </c>
      <c r="G62" s="4">
        <f t="shared" si="22"/>
        <v>75</v>
      </c>
      <c r="H62" s="4">
        <f t="shared" si="20"/>
        <v>180</v>
      </c>
      <c r="I62" s="4">
        <v>6</v>
      </c>
      <c r="J62" s="4" t="s">
        <v>12</v>
      </c>
      <c r="K62" s="73">
        <f t="shared" si="3"/>
        <v>105</v>
      </c>
      <c r="L62" s="73">
        <f t="shared" si="4"/>
        <v>0</v>
      </c>
      <c r="M62" s="73">
        <f t="shared" si="5"/>
        <v>105</v>
      </c>
      <c r="N62" s="7" t="str">
        <f>IF(O62=""," ",VLOOKUP(O62,'[8]2012 личен състав ОТД'!$A:$AO,2,FALSE))</f>
        <v xml:space="preserve"> </v>
      </c>
      <c r="O62" s="3"/>
      <c r="P62" s="7" t="str">
        <f>IF(O62=""," ",VLOOKUP(O62,'[8]2012 личен състав ОТД'!$A:$AO,13,FALSE))</f>
        <v xml:space="preserve"> </v>
      </c>
      <c r="Q62" s="7" t="str">
        <f>IF(O62=""," ",VLOOKUP(O62,'[8]2012 личен състав ОТД'!$A:$AO,12,FALSE))</f>
        <v xml:space="preserve"> </v>
      </c>
      <c r="R62" s="7" t="e">
        <f>IF(A62=""," ",VLOOKUP(A62,'Профилиращ лист'!A:B,2,FALSE))</f>
        <v>#N/A</v>
      </c>
      <c r="T62" s="7" t="e">
        <f t="shared" ca="1" si="14"/>
        <v>#VALUE!</v>
      </c>
      <c r="GG62" s="7" t="e">
        <f t="shared" si="21"/>
        <v>#N/A</v>
      </c>
    </row>
    <row r="63" spans="1:189" ht="14.1" hidden="1" customHeight="1" x14ac:dyDescent="0.25">
      <c r="A63" s="8" t="s">
        <v>54</v>
      </c>
      <c r="B63" s="4">
        <v>30</v>
      </c>
      <c r="C63" s="4">
        <v>30</v>
      </c>
      <c r="D63" s="4">
        <v>30</v>
      </c>
      <c r="E63" s="4">
        <v>0</v>
      </c>
      <c r="F63" s="4">
        <v>0</v>
      </c>
      <c r="G63" s="4">
        <f t="shared" si="22"/>
        <v>60</v>
      </c>
      <c r="H63" s="4">
        <f t="shared" si="20"/>
        <v>90</v>
      </c>
      <c r="I63" s="4">
        <v>3</v>
      </c>
      <c r="J63" s="4" t="s">
        <v>14</v>
      </c>
      <c r="K63" s="73">
        <f t="shared" si="3"/>
        <v>75</v>
      </c>
      <c r="L63" s="73">
        <f t="shared" si="4"/>
        <v>45</v>
      </c>
      <c r="M63" s="73">
        <f t="shared" si="5"/>
        <v>30</v>
      </c>
      <c r="N63" s="7" t="str">
        <f>IF(O63=""," ",VLOOKUP(O63,'[8]2012 личен състав ОТД'!$A:$AO,2,FALSE))</f>
        <v xml:space="preserve"> </v>
      </c>
      <c r="O63" s="3"/>
      <c r="P63" s="7" t="str">
        <f>IF(O63=""," ",VLOOKUP(O63,'[8]2012 личен състав ОТД'!$A:$AO,13,FALSE))</f>
        <v xml:space="preserve"> </v>
      </c>
      <c r="Q63" s="7" t="str">
        <f>IF(O63=""," ",VLOOKUP(O63,'[8]2012 личен състав ОТД'!$A:$AO,12,FALSE))</f>
        <v xml:space="preserve"> </v>
      </c>
      <c r="R63" s="7" t="str">
        <f>IF(A63=""," ",VLOOKUP(A63,'Профилиращ лист'!A:B,2,FALSE))</f>
        <v>СПЕ</v>
      </c>
      <c r="T63" s="7" t="e">
        <f t="shared" ca="1" si="14"/>
        <v>#VALUE!</v>
      </c>
      <c r="GG63" s="7" t="e">
        <f t="shared" ca="1" si="21"/>
        <v>#VALUE!</v>
      </c>
    </row>
    <row r="64" spans="1:189" x14ac:dyDescent="0.25">
      <c r="A64" s="67" t="s">
        <v>173</v>
      </c>
      <c r="B64" s="4">
        <v>30</v>
      </c>
      <c r="C64" s="4">
        <v>30</v>
      </c>
      <c r="D64" s="4">
        <v>30</v>
      </c>
      <c r="E64" s="4">
        <v>0</v>
      </c>
      <c r="F64" s="4">
        <v>0</v>
      </c>
      <c r="G64" s="4">
        <f t="shared" si="22"/>
        <v>30</v>
      </c>
      <c r="H64" s="4">
        <f t="shared" si="20"/>
        <v>60</v>
      </c>
      <c r="I64" s="4">
        <v>2</v>
      </c>
      <c r="J64" s="6" t="s">
        <v>12</v>
      </c>
      <c r="K64" s="73">
        <f t="shared" si="3"/>
        <v>30</v>
      </c>
      <c r="L64" s="73">
        <f t="shared" si="4"/>
        <v>30</v>
      </c>
      <c r="M64" s="73">
        <f t="shared" si="5"/>
        <v>0</v>
      </c>
      <c r="N64" s="7" t="str">
        <f>IF(O64=""," ",VLOOKUP(O64,'[8]2012 личен състав ОТД'!$A:$AO,2,FALSE))</f>
        <v>проф. дин Кирил Павликянов</v>
      </c>
      <c r="O64" s="3" t="s">
        <v>510</v>
      </c>
      <c r="P64" s="7">
        <f>IF(O64=""," ",VLOOKUP(O64,'[8]2012 личен състав ОТД'!$A:$AO,13,FALSE))</f>
        <v>1964</v>
      </c>
      <c r="Q64" s="7" t="str">
        <f>IF(O64=""," ",VLOOKUP(O64,'[8]2012 личен състав ОТД'!$A:$AO,12,FALSE))</f>
        <v>ХОН</v>
      </c>
      <c r="R64" s="7" t="s">
        <v>255</v>
      </c>
      <c r="T64" s="7">
        <f t="shared" ca="1" si="14"/>
        <v>49</v>
      </c>
    </row>
    <row r="65" spans="1:189" ht="14.1" hidden="1" customHeight="1" x14ac:dyDescent="0.25">
      <c r="A65" s="15" t="s">
        <v>57</v>
      </c>
      <c r="B65" s="4">
        <v>15</v>
      </c>
      <c r="C65" s="4">
        <v>30</v>
      </c>
      <c r="D65" s="4">
        <v>0</v>
      </c>
      <c r="E65" s="4">
        <v>0</v>
      </c>
      <c r="F65" s="4">
        <v>30</v>
      </c>
      <c r="G65" s="4">
        <f>H65-C65</f>
        <v>30</v>
      </c>
      <c r="H65" s="4">
        <f>I65*30</f>
        <v>60</v>
      </c>
      <c r="I65" s="4">
        <v>2</v>
      </c>
      <c r="J65" s="4" t="s">
        <v>18</v>
      </c>
      <c r="K65" s="73">
        <f t="shared" si="3"/>
        <v>30</v>
      </c>
      <c r="L65" s="73">
        <f t="shared" si="4"/>
        <v>0</v>
      </c>
      <c r="M65" s="73">
        <f t="shared" si="5"/>
        <v>30</v>
      </c>
      <c r="N65" s="7" t="str">
        <f>IF(O65=""," ",VLOOKUP(O65,'[8]2012 личен състав ОТД'!$A:$AO,2,FALSE))</f>
        <v xml:space="preserve"> </v>
      </c>
      <c r="O65" s="3"/>
      <c r="P65" s="7" t="str">
        <f>IF(O65=""," ",VLOOKUP(O65,'[8]2012 личен състав ОТД'!$A:$AO,13,FALSE))</f>
        <v xml:space="preserve"> </v>
      </c>
      <c r="Q65" s="7" t="str">
        <f>IF(O65=""," ",VLOOKUP(O65,'[8]2012 личен състав ОТД'!$A:$AO,12,FALSE))</f>
        <v xml:space="preserve"> </v>
      </c>
      <c r="R65" s="7" t="str">
        <f>IF(A65=""," ",VLOOKUP(A65,'Профилиращ лист'!A:B,2,FALSE))</f>
        <v>ПЕД</v>
      </c>
      <c r="T65" s="7" t="e">
        <f t="shared" ca="1" si="14"/>
        <v>#VALUE!</v>
      </c>
    </row>
    <row r="66" spans="1:189" ht="14.1" hidden="1" customHeight="1" x14ac:dyDescent="0.25">
      <c r="A66" s="15" t="s">
        <v>174</v>
      </c>
      <c r="B66" s="4">
        <v>15</v>
      </c>
      <c r="C66" s="4">
        <v>15</v>
      </c>
      <c r="D66" s="4">
        <v>0</v>
      </c>
      <c r="E66" s="4">
        <v>0</v>
      </c>
      <c r="F66" s="4">
        <v>15</v>
      </c>
      <c r="G66" s="4">
        <f>H66-C66</f>
        <v>45</v>
      </c>
      <c r="H66" s="4">
        <f>I66*30</f>
        <v>60</v>
      </c>
      <c r="I66" s="4">
        <v>2</v>
      </c>
      <c r="J66" s="4" t="s">
        <v>18</v>
      </c>
      <c r="K66" s="73">
        <f t="shared" si="3"/>
        <v>15</v>
      </c>
      <c r="L66" s="73">
        <f t="shared" si="4"/>
        <v>0</v>
      </c>
      <c r="M66" s="73">
        <f t="shared" si="5"/>
        <v>15</v>
      </c>
      <c r="N66" s="7" t="str">
        <f>IF(O66=""," ",VLOOKUP(O66,'[8]2012 личен състав ОТД'!$A:$AO,2,FALSE))</f>
        <v xml:space="preserve"> </v>
      </c>
      <c r="O66" s="3"/>
      <c r="P66" s="7" t="str">
        <f>IF(O66=""," ",VLOOKUP(O66,'[8]2012 личен състав ОТД'!$A:$AO,13,FALSE))</f>
        <v xml:space="preserve"> </v>
      </c>
      <c r="Q66" s="7" t="str">
        <f>IF(O66=""," ",VLOOKUP(O66,'[8]2012 личен състав ОТД'!$A:$AO,12,FALSE))</f>
        <v xml:space="preserve"> </v>
      </c>
      <c r="R66" s="7" t="e">
        <f>IF(A66=""," ",VLOOKUP(A66,'Профилиращ лист'!A:B,2,FALSE))</f>
        <v>#N/A</v>
      </c>
      <c r="T66" s="7" t="e">
        <f t="shared" ca="1" si="14"/>
        <v>#VALUE!</v>
      </c>
    </row>
    <row r="67" spans="1:189" x14ac:dyDescent="0.25">
      <c r="A67" s="67" t="s">
        <v>175</v>
      </c>
      <c r="B67" s="4"/>
      <c r="C67" s="4">
        <v>30</v>
      </c>
      <c r="D67" s="4">
        <v>30</v>
      </c>
      <c r="E67" s="4">
        <v>0</v>
      </c>
      <c r="F67" s="4">
        <v>0</v>
      </c>
      <c r="G67" s="4">
        <f>H67-C67</f>
        <v>30</v>
      </c>
      <c r="H67" s="4">
        <f>I67*30</f>
        <v>60</v>
      </c>
      <c r="I67" s="4">
        <v>2</v>
      </c>
      <c r="J67" s="6" t="s">
        <v>12</v>
      </c>
      <c r="K67" s="73">
        <f t="shared" si="3"/>
        <v>30</v>
      </c>
      <c r="L67" s="73">
        <f t="shared" si="4"/>
        <v>30</v>
      </c>
      <c r="M67" s="73">
        <f t="shared" si="5"/>
        <v>0</v>
      </c>
      <c r="N67" s="78" t="str">
        <f>IF(O67=""," ",VLOOKUP(O67,'[8]2012 личен състав ОТД'!$A:$AO,2,FALSE))</f>
        <v>гл. ас.  Галина Брусева</v>
      </c>
      <c r="O67" s="79" t="s">
        <v>514</v>
      </c>
      <c r="P67" s="7">
        <f>IF(O67=""," ",VLOOKUP(O67,'[8]2012 личен състав ОТД'!$A:$AO,13,FALSE))</f>
        <v>1978</v>
      </c>
      <c r="Q67" s="7" t="str">
        <f>IF(O67=""," ",VLOOKUP(O67,'[8]2012 личен състав ОТД'!$A:$AO,12,FALSE))</f>
        <v>ОТД</v>
      </c>
      <c r="R67" s="7" t="s">
        <v>255</v>
      </c>
      <c r="T67" s="7">
        <f t="shared" ref="T67:T95" ca="1" si="23">Години-P67</f>
        <v>35</v>
      </c>
    </row>
    <row r="68" spans="1:189" ht="14.1" hidden="1" customHeight="1" x14ac:dyDescent="0.25">
      <c r="A68" s="8"/>
      <c r="B68" s="9">
        <f>SUM(B58:B63)</f>
        <v>300</v>
      </c>
      <c r="C68" s="9">
        <f>SUM(C58:C63)</f>
        <v>300</v>
      </c>
      <c r="D68" s="9">
        <f>SUM(D58:D63)</f>
        <v>135</v>
      </c>
      <c r="E68" s="9">
        <f>SUM(E58:E63)</f>
        <v>60</v>
      </c>
      <c r="F68" s="9">
        <f>C68-D68-E68</f>
        <v>105</v>
      </c>
      <c r="G68" s="9">
        <f>SUM(G58:G63)</f>
        <v>360</v>
      </c>
      <c r="H68" s="9">
        <f>SUM(H58:H63)</f>
        <v>660</v>
      </c>
      <c r="I68" s="9">
        <f>SUM(I58:I67)</f>
        <v>30</v>
      </c>
      <c r="J68" s="6"/>
      <c r="K68" s="73">
        <f t="shared" ref="K68:K109" si="24">SUMIF(A:A,A68,C:C)</f>
        <v>0</v>
      </c>
      <c r="L68" s="73">
        <f t="shared" ref="L68:L109" si="25">SUMIF(A:A,A68,D:D)</f>
        <v>0</v>
      </c>
      <c r="M68" s="73">
        <f t="shared" ref="M68:M109" si="26">SUMIF(A:A,A68,E:E)+SUMIF(A:A,A68,F:F)</f>
        <v>0</v>
      </c>
      <c r="N68" s="7" t="str">
        <f>IF(O68=""," ",VLOOKUP(O68,'[8]2012 личен състав ОТД'!$A:$AO,2,FALSE))</f>
        <v xml:space="preserve"> </v>
      </c>
      <c r="O68" s="3"/>
      <c r="P68" s="7" t="str">
        <f>IF(O68=""," ",VLOOKUP(O68,'[8]2012 личен състав ОТД'!$A:$AO,13,FALSE))</f>
        <v xml:space="preserve"> </v>
      </c>
      <c r="Q68" s="7" t="str">
        <f>IF(O68=""," ",VLOOKUP(O68,'[8]2012 личен състав ОТД'!$A:$AO,12,FALSE))</f>
        <v xml:space="preserve"> </v>
      </c>
      <c r="R68" s="7" t="str">
        <f>IF(A68=""," ",VLOOKUP(A68,'Профилиращ лист'!A:B,2,FALSE))</f>
        <v xml:space="preserve"> </v>
      </c>
      <c r="T68" s="7" t="e">
        <f t="shared" ca="1" si="23"/>
        <v>#VALUE!</v>
      </c>
    </row>
    <row r="69" spans="1:189" ht="14.1" hidden="1" customHeight="1" x14ac:dyDescent="0.25">
      <c r="A69" s="1" t="s">
        <v>59</v>
      </c>
      <c r="B69" s="1"/>
      <c r="I69" s="13"/>
      <c r="J69" s="14"/>
      <c r="K69" s="73">
        <f t="shared" si="24"/>
        <v>0</v>
      </c>
      <c r="L69" s="73">
        <f t="shared" si="25"/>
        <v>0</v>
      </c>
      <c r="M69" s="73">
        <f t="shared" si="26"/>
        <v>0</v>
      </c>
      <c r="N69" s="7" t="str">
        <f>IF(O69=""," ",VLOOKUP(O69,'[8]2012 личен състав ОТД'!$A:$AO,2,FALSE))</f>
        <v xml:space="preserve"> </v>
      </c>
      <c r="O69" s="3"/>
      <c r="P69" s="7" t="str">
        <f>IF(O69=""," ",VLOOKUP(O69,'[8]2012 личен състав ОТД'!$A:$AO,13,FALSE))</f>
        <v xml:space="preserve"> </v>
      </c>
      <c r="Q69" s="7" t="str">
        <f>IF(O69=""," ",VLOOKUP(O69,'[8]2012 личен състав ОТД'!$A:$AO,12,FALSE))</f>
        <v xml:space="preserve"> </v>
      </c>
      <c r="R69" s="7" t="e">
        <f>IF(A69=""," ",VLOOKUP(A69,'Профилиращ лист'!A:B,2,FALSE))</f>
        <v>#N/A</v>
      </c>
      <c r="T69" s="7" t="e">
        <f t="shared" ca="1" si="23"/>
        <v>#VALUE!</v>
      </c>
    </row>
    <row r="70" spans="1:189" ht="14.1" hidden="1" customHeight="1" x14ac:dyDescent="0.25">
      <c r="A70" s="8" t="s">
        <v>62</v>
      </c>
      <c r="B70" s="4">
        <v>45</v>
      </c>
      <c r="C70" s="4">
        <v>45</v>
      </c>
      <c r="D70" s="4">
        <v>45</v>
      </c>
      <c r="E70" s="4">
        <v>0</v>
      </c>
      <c r="F70" s="4">
        <v>0</v>
      </c>
      <c r="G70" s="4">
        <f>H70-C70</f>
        <v>45</v>
      </c>
      <c r="H70" s="4">
        <f t="shared" ref="H70:H78" si="27">I70*30</f>
        <v>90</v>
      </c>
      <c r="I70" s="4">
        <v>3</v>
      </c>
      <c r="J70" s="4" t="s">
        <v>14</v>
      </c>
      <c r="K70" s="73">
        <f t="shared" si="24"/>
        <v>90</v>
      </c>
      <c r="L70" s="73">
        <f t="shared" si="25"/>
        <v>75</v>
      </c>
      <c r="M70" s="73">
        <f t="shared" si="26"/>
        <v>15</v>
      </c>
      <c r="N70" s="7" t="str">
        <f>IF(O70=""," ",VLOOKUP(O70,'[8]2012 личен състав ОТД'!$A:$AO,2,FALSE))</f>
        <v xml:space="preserve"> </v>
      </c>
      <c r="O70" s="3"/>
      <c r="P70" s="7" t="str">
        <f>IF(O70=""," ",VLOOKUP(O70,'[8]2012 личен състав ОТД'!$A:$AO,13,FALSE))</f>
        <v xml:space="preserve"> </v>
      </c>
      <c r="Q70" s="7" t="str">
        <f>IF(O70=""," ",VLOOKUP(O70,'[8]2012 личен състав ОТД'!$A:$AO,12,FALSE))</f>
        <v xml:space="preserve"> </v>
      </c>
      <c r="R70" s="7" t="str">
        <f>IF(A70=""," ",VLOOKUP(A70,'Профилиращ лист'!A:B,2,FALSE))</f>
        <v>СПЕ</v>
      </c>
      <c r="T70" s="7" t="e">
        <f t="shared" ca="1" si="23"/>
        <v>#VALUE!</v>
      </c>
    </row>
    <row r="71" spans="1:189" ht="14.1" hidden="1" customHeight="1" x14ac:dyDescent="0.25">
      <c r="A71" s="8" t="s">
        <v>176</v>
      </c>
      <c r="B71" s="4">
        <v>15</v>
      </c>
      <c r="C71" s="4">
        <v>30</v>
      </c>
      <c r="D71" s="4">
        <v>30</v>
      </c>
      <c r="E71" s="4">
        <v>0</v>
      </c>
      <c r="F71" s="4">
        <v>0</v>
      </c>
      <c r="G71" s="4">
        <f t="shared" ref="G71:G78" si="28">H71-C71</f>
        <v>60</v>
      </c>
      <c r="H71" s="4">
        <f t="shared" si="27"/>
        <v>90</v>
      </c>
      <c r="I71" s="4">
        <v>3</v>
      </c>
      <c r="J71" s="4" t="s">
        <v>14</v>
      </c>
      <c r="K71" s="73">
        <f t="shared" si="24"/>
        <v>60</v>
      </c>
      <c r="L71" s="73">
        <f t="shared" si="25"/>
        <v>60</v>
      </c>
      <c r="M71" s="73">
        <f t="shared" si="26"/>
        <v>0</v>
      </c>
      <c r="N71" s="7" t="str">
        <f>IF(O71=""," ",VLOOKUP(O71,'[8]2012 личен състав ОТД'!$A:$AO,2,FALSE))</f>
        <v xml:space="preserve"> </v>
      </c>
      <c r="O71" s="3"/>
      <c r="P71" s="7" t="str">
        <f>IF(O71=""," ",VLOOKUP(O71,'[8]2012 личен състав ОТД'!$A:$AO,13,FALSE))</f>
        <v xml:space="preserve"> </v>
      </c>
      <c r="Q71" s="7" t="str">
        <f>IF(O71=""," ",VLOOKUP(O71,'[8]2012 личен състав ОТД'!$A:$AO,12,FALSE))</f>
        <v xml:space="preserve"> </v>
      </c>
      <c r="R71" s="7" t="e">
        <f>IF(A71=""," ",VLOOKUP(A71,'Профилиращ лист'!A:B,2,FALSE))</f>
        <v>#N/A</v>
      </c>
      <c r="T71" s="7" t="e">
        <f t="shared" ca="1" si="23"/>
        <v>#VALUE!</v>
      </c>
    </row>
    <row r="72" spans="1:189" ht="14.1" hidden="1" customHeight="1" x14ac:dyDescent="0.25">
      <c r="A72" s="8" t="s">
        <v>161</v>
      </c>
      <c r="B72" s="4">
        <v>90</v>
      </c>
      <c r="C72" s="4">
        <v>75</v>
      </c>
      <c r="D72" s="4">
        <v>0</v>
      </c>
      <c r="E72" s="4">
        <v>0</v>
      </c>
      <c r="F72" s="4">
        <v>75</v>
      </c>
      <c r="G72" s="4">
        <f t="shared" si="28"/>
        <v>105</v>
      </c>
      <c r="H72" s="4">
        <f t="shared" si="27"/>
        <v>180</v>
      </c>
      <c r="I72" s="4">
        <v>6</v>
      </c>
      <c r="J72" s="4" t="s">
        <v>14</v>
      </c>
      <c r="K72" s="73">
        <f t="shared" si="24"/>
        <v>555</v>
      </c>
      <c r="L72" s="73">
        <f t="shared" si="25"/>
        <v>0</v>
      </c>
      <c r="M72" s="73">
        <f t="shared" si="26"/>
        <v>555</v>
      </c>
      <c r="N72" s="7" t="str">
        <f>IF(O72=""," ",VLOOKUP(O72,'[8]2012 личен състав ОТД'!$A:$AO,2,FALSE))</f>
        <v xml:space="preserve"> </v>
      </c>
      <c r="O72" s="3"/>
      <c r="P72" s="7" t="str">
        <f>IF(O72=""," ",VLOOKUP(O72,'[8]2012 личен състав ОТД'!$A:$AO,13,FALSE))</f>
        <v xml:space="preserve"> </v>
      </c>
      <c r="Q72" s="7" t="str">
        <f>IF(O72=""," ",VLOOKUP(O72,'[8]2012 личен състав ОТД'!$A:$AO,12,FALSE))</f>
        <v xml:space="preserve"> </v>
      </c>
      <c r="R72" s="7" t="e">
        <f>IF(A72=""," ",VLOOKUP(A72,'Профилиращ лист'!A:B,2,FALSE))</f>
        <v>#N/A</v>
      </c>
      <c r="T72" s="7" t="e">
        <f t="shared" ca="1" si="23"/>
        <v>#VALUE!</v>
      </c>
    </row>
    <row r="73" spans="1:189" x14ac:dyDescent="0.25">
      <c r="A73" s="67" t="s">
        <v>177</v>
      </c>
      <c r="B73" s="4">
        <v>30</v>
      </c>
      <c r="C73" s="4">
        <v>30</v>
      </c>
      <c r="D73" s="4">
        <v>30</v>
      </c>
      <c r="E73" s="4">
        <v>0</v>
      </c>
      <c r="F73" s="4">
        <v>0</v>
      </c>
      <c r="G73" s="4">
        <f>H73-C73</f>
        <v>30</v>
      </c>
      <c r="H73" s="4">
        <f>I73*30</f>
        <v>60</v>
      </c>
      <c r="I73" s="4">
        <v>2</v>
      </c>
      <c r="J73" s="4" t="s">
        <v>12</v>
      </c>
      <c r="K73" s="73">
        <f t="shared" si="24"/>
        <v>30</v>
      </c>
      <c r="L73" s="73">
        <f t="shared" si="25"/>
        <v>30</v>
      </c>
      <c r="M73" s="73">
        <f t="shared" si="26"/>
        <v>0</v>
      </c>
      <c r="N73" s="7" t="str">
        <f>IF(O73=""," ",VLOOKUP(O73,'[8]2012 личен състав ОТД'!$A:$AO,2,FALSE))</f>
        <v>проф. д-р Стойна Пороманска</v>
      </c>
      <c r="O73" s="3" t="s">
        <v>509</v>
      </c>
      <c r="P73" s="7">
        <f>IF(O73=""," ",VLOOKUP(O73,'[8]2012 личен състав ОТД'!$A:$AO,13,FALSE))</f>
        <v>1939</v>
      </c>
      <c r="Q73" s="7" t="str">
        <f>IF(O73=""," ",VLOOKUP(O73,'[8]2012 личен състав ОТД'!$A:$AO,12,FALSE))</f>
        <v>ОТД</v>
      </c>
      <c r="R73" s="7" t="s">
        <v>253</v>
      </c>
      <c r="T73" s="7">
        <f t="shared" ca="1" si="23"/>
        <v>74</v>
      </c>
    </row>
    <row r="74" spans="1:189" x14ac:dyDescent="0.25">
      <c r="A74" s="67" t="s">
        <v>64</v>
      </c>
      <c r="B74" s="4">
        <v>15</v>
      </c>
      <c r="C74" s="4">
        <v>15</v>
      </c>
      <c r="D74" s="4">
        <v>15</v>
      </c>
      <c r="E74" s="4">
        <v>0</v>
      </c>
      <c r="F74" s="4">
        <v>0</v>
      </c>
      <c r="G74" s="4">
        <f>H74-C74</f>
        <v>75</v>
      </c>
      <c r="H74" s="4">
        <f>I74*30</f>
        <v>90</v>
      </c>
      <c r="I74" s="4">
        <v>3</v>
      </c>
      <c r="J74" s="4" t="s">
        <v>12</v>
      </c>
      <c r="K74" s="73">
        <f t="shared" si="24"/>
        <v>15</v>
      </c>
      <c r="L74" s="73">
        <f t="shared" si="25"/>
        <v>15</v>
      </c>
      <c r="M74" s="73">
        <f t="shared" si="26"/>
        <v>0</v>
      </c>
      <c r="N74" s="7" t="str">
        <f>IF(O74=""," ",VLOOKUP(O74,'[8]2012 личен състав ОТД'!$A:$AO,2,FALSE))</f>
        <v>доц. д-р Соня Спилкова</v>
      </c>
      <c r="O74" s="3" t="s">
        <v>477</v>
      </c>
      <c r="P74" s="7">
        <f>IF(O74=""," ",VLOOKUP(O74,'[8]2012 личен състав ОТД'!$A:$AO,13,FALSE))</f>
        <v>1952</v>
      </c>
      <c r="Q74" s="7" t="str">
        <f>IF(O74=""," ",VLOOKUP(O74,'[8]2012 личен състав ОТД'!$A:$AO,12,FALSE))</f>
        <v>ОТД</v>
      </c>
      <c r="R74" s="7" t="str">
        <f>IF(A74=""," ",VLOOKUP(A74,'Профилиращ лист'!A:B,2,FALSE))</f>
        <v>ПЕД</v>
      </c>
      <c r="T74" s="7">
        <f t="shared" ca="1" si="23"/>
        <v>61</v>
      </c>
      <c r="GG74" s="7">
        <f ca="1">SUM(C74:GF74)</f>
        <v>2241</v>
      </c>
    </row>
    <row r="75" spans="1:189" x14ac:dyDescent="0.25">
      <c r="A75" s="67" t="s">
        <v>65</v>
      </c>
      <c r="B75" s="4">
        <v>15</v>
      </c>
      <c r="C75" s="4">
        <v>15</v>
      </c>
      <c r="D75" s="4">
        <v>15</v>
      </c>
      <c r="E75" s="4">
        <v>0</v>
      </c>
      <c r="F75" s="4">
        <v>0</v>
      </c>
      <c r="G75" s="4">
        <f>H75-C75</f>
        <v>75</v>
      </c>
      <c r="H75" s="4">
        <f>I75*30</f>
        <v>90</v>
      </c>
      <c r="I75" s="4">
        <v>3</v>
      </c>
      <c r="J75" s="4" t="s">
        <v>12</v>
      </c>
      <c r="K75" s="73">
        <f t="shared" si="24"/>
        <v>15</v>
      </c>
      <c r="L75" s="73">
        <f t="shared" si="25"/>
        <v>15</v>
      </c>
      <c r="M75" s="73">
        <f t="shared" si="26"/>
        <v>0</v>
      </c>
      <c r="N75" s="7" t="str">
        <f>IF(O75=""," ",VLOOKUP(O75,'[8]2012 личен състав ОТД'!$A:$AO,2,FALSE))</f>
        <v>доц. д-р Пенка Гарушева-Карамалакова</v>
      </c>
      <c r="O75" s="3" t="str">
        <f>IF(A75=""," ",VLOOKUP(A75,'Български и испански език'!A:O,15,FALSE))</f>
        <v>гарушева</v>
      </c>
      <c r="P75" s="7">
        <f>IF(O75=""," ",VLOOKUP(O75,'[8]2012 личен състав ОТД'!$A:$AO,13,FALSE))</f>
        <v>1947</v>
      </c>
      <c r="Q75" s="7" t="str">
        <f>IF(O75=""," ",VLOOKUP(O75,'[8]2012 личен състав ОТД'!$A:$AO,12,FALSE))</f>
        <v>ОТД</v>
      </c>
      <c r="R75" s="7" t="str">
        <f>IF(A75=""," ",VLOOKUP(A75,'Профилиращ лист'!A:B,2,FALSE))</f>
        <v>ПЕД</v>
      </c>
      <c r="T75" s="7">
        <f t="shared" ca="1" si="23"/>
        <v>66</v>
      </c>
    </row>
    <row r="76" spans="1:189" x14ac:dyDescent="0.25">
      <c r="A76" s="67" t="s">
        <v>54</v>
      </c>
      <c r="B76" s="4">
        <v>30</v>
      </c>
      <c r="C76" s="4">
        <v>45</v>
      </c>
      <c r="D76" s="4">
        <v>15</v>
      </c>
      <c r="E76" s="4">
        <v>30</v>
      </c>
      <c r="F76" s="4">
        <v>0</v>
      </c>
      <c r="G76" s="4">
        <f t="shared" si="28"/>
        <v>45</v>
      </c>
      <c r="H76" s="4">
        <f t="shared" si="27"/>
        <v>90</v>
      </c>
      <c r="I76" s="4">
        <v>3</v>
      </c>
      <c r="J76" s="4" t="s">
        <v>12</v>
      </c>
      <c r="K76" s="73">
        <f t="shared" si="24"/>
        <v>75</v>
      </c>
      <c r="L76" s="73">
        <f t="shared" si="25"/>
        <v>45</v>
      </c>
      <c r="M76" s="73">
        <f t="shared" si="26"/>
        <v>30</v>
      </c>
      <c r="N76" s="7" t="str">
        <f>IF(O76=""," ",VLOOKUP(O76,'[8]2012 личен състав ОТД'!$A:$AO,2,FALSE))</f>
        <v>доц. д-р Петя Бъркалова</v>
      </c>
      <c r="O76" s="3" t="s">
        <v>479</v>
      </c>
      <c r="P76" s="7">
        <f>IF(O76=""," ",VLOOKUP(O76,'[8]2012 личен състав ОТД'!$A:$AO,13,FALSE))</f>
        <v>1956</v>
      </c>
      <c r="Q76" s="7" t="str">
        <f>IF(O76=""," ",VLOOKUP(O76,'[8]2012 личен състав ОТД'!$A:$AO,12,FALSE))</f>
        <v>ОТД</v>
      </c>
      <c r="R76" s="7" t="str">
        <f>IF(A76=""," ",VLOOKUP(A76,'Профилиращ лист'!A:B,2,FALSE))</f>
        <v>СПЕ</v>
      </c>
      <c r="T76" s="7">
        <f t="shared" ca="1" si="23"/>
        <v>57</v>
      </c>
    </row>
    <row r="77" spans="1:189" hidden="1" x14ac:dyDescent="0.25">
      <c r="A77" s="16" t="s">
        <v>66</v>
      </c>
      <c r="B77" s="4">
        <v>30</v>
      </c>
      <c r="C77" s="4">
        <v>30</v>
      </c>
      <c r="D77" s="4">
        <v>0</v>
      </c>
      <c r="E77" s="4">
        <v>0</v>
      </c>
      <c r="F77" s="4">
        <v>30</v>
      </c>
      <c r="G77" s="4">
        <f t="shared" si="28"/>
        <v>60</v>
      </c>
      <c r="H77" s="4">
        <f t="shared" si="27"/>
        <v>90</v>
      </c>
      <c r="I77" s="4">
        <v>3</v>
      </c>
      <c r="J77" s="4" t="s">
        <v>18</v>
      </c>
      <c r="K77" s="73">
        <f t="shared" si="24"/>
        <v>30</v>
      </c>
      <c r="L77" s="73">
        <f t="shared" si="25"/>
        <v>0</v>
      </c>
      <c r="M77" s="73">
        <f t="shared" si="26"/>
        <v>30</v>
      </c>
      <c r="N77" s="7" t="str">
        <f>IF(O77=""," ",VLOOKUP(O77,'[8]2012 личен състав ОТД'!$A:$AO,2,FALSE))</f>
        <v xml:space="preserve"> </v>
      </c>
      <c r="O77" s="3"/>
      <c r="P77" s="7" t="str">
        <f>IF(O77=""," ",VLOOKUP(O77,'[8]2012 личен състав ОТД'!$A:$AO,13,FALSE))</f>
        <v xml:space="preserve"> </v>
      </c>
      <c r="Q77" s="7" t="str">
        <f>IF(O77=""," ",VLOOKUP(O77,'[8]2012 личен състав ОТД'!$A:$AO,12,FALSE))</f>
        <v xml:space="preserve"> </v>
      </c>
      <c r="R77" s="7" t="str">
        <f>IF(A77=""," ",VLOOKUP(A77,'Профилиращ лист'!A:B,2,FALSE))</f>
        <v>ПЕД</v>
      </c>
      <c r="T77" s="7" t="e">
        <f t="shared" ca="1" si="23"/>
        <v>#VALUE!</v>
      </c>
    </row>
    <row r="78" spans="1:189" ht="14.1" hidden="1" customHeight="1" x14ac:dyDescent="0.25">
      <c r="A78" s="8" t="s">
        <v>178</v>
      </c>
      <c r="B78" s="4">
        <v>15</v>
      </c>
      <c r="C78" s="4">
        <v>15</v>
      </c>
      <c r="D78" s="4">
        <v>0</v>
      </c>
      <c r="E78" s="4">
        <v>0</v>
      </c>
      <c r="F78" s="4">
        <v>15</v>
      </c>
      <c r="G78" s="4">
        <f t="shared" si="28"/>
        <v>45</v>
      </c>
      <c r="H78" s="4">
        <f t="shared" si="27"/>
        <v>60</v>
      </c>
      <c r="I78" s="4">
        <v>2</v>
      </c>
      <c r="J78" s="4" t="s">
        <v>18</v>
      </c>
      <c r="K78" s="73">
        <f t="shared" si="24"/>
        <v>15</v>
      </c>
      <c r="L78" s="73">
        <f t="shared" si="25"/>
        <v>0</v>
      </c>
      <c r="M78" s="73">
        <f t="shared" si="26"/>
        <v>15</v>
      </c>
      <c r="N78" s="7" t="str">
        <f>IF(O78=""," ",VLOOKUP(O78,'[8]2012 личен състав ОТД'!$A:$AO,2,FALSE))</f>
        <v xml:space="preserve"> </v>
      </c>
      <c r="O78" s="3"/>
      <c r="P78" s="7" t="str">
        <f>IF(O78=""," ",VLOOKUP(O78,'[8]2012 личен състав ОТД'!$A:$AO,13,FALSE))</f>
        <v xml:space="preserve"> </v>
      </c>
      <c r="Q78" s="7" t="str">
        <f>IF(O78=""," ",VLOOKUP(O78,'[8]2012 личен състав ОТД'!$A:$AO,12,FALSE))</f>
        <v xml:space="preserve"> </v>
      </c>
      <c r="R78" s="7" t="e">
        <f>IF(A78=""," ",VLOOKUP(A78,'Профилиращ лист'!A:B,2,FALSE))</f>
        <v>#N/A</v>
      </c>
      <c r="T78" s="7" t="e">
        <f t="shared" ca="1" si="23"/>
        <v>#VALUE!</v>
      </c>
    </row>
    <row r="79" spans="1:189" ht="14.1" hidden="1" customHeight="1" x14ac:dyDescent="0.25">
      <c r="A79" s="8" t="s">
        <v>179</v>
      </c>
      <c r="B79" s="4">
        <v>30</v>
      </c>
      <c r="C79" s="4">
        <v>45</v>
      </c>
      <c r="D79" s="4">
        <v>15</v>
      </c>
      <c r="E79" s="4">
        <v>0</v>
      </c>
      <c r="F79" s="4">
        <v>0</v>
      </c>
      <c r="G79" s="4">
        <f>H79-C79</f>
        <v>15</v>
      </c>
      <c r="H79" s="4">
        <f>I79*30</f>
        <v>60</v>
      </c>
      <c r="I79" s="4">
        <v>2</v>
      </c>
      <c r="J79" s="6" t="s">
        <v>14</v>
      </c>
      <c r="K79" s="73">
        <f t="shared" si="24"/>
        <v>90</v>
      </c>
      <c r="L79" s="73">
        <f t="shared" si="25"/>
        <v>30</v>
      </c>
      <c r="M79" s="73">
        <f t="shared" si="26"/>
        <v>0</v>
      </c>
      <c r="N79" s="7" t="str">
        <f>IF(O79=""," ",VLOOKUP(O79,'[8]2012 личен състав ОТД'!$A:$AO,2,FALSE))</f>
        <v xml:space="preserve"> </v>
      </c>
      <c r="O79" s="3"/>
      <c r="P79" s="7" t="str">
        <f>IF(O79=""," ",VLOOKUP(O79,'[8]2012 личен състав ОТД'!$A:$AO,13,FALSE))</f>
        <v xml:space="preserve"> </v>
      </c>
      <c r="Q79" s="7" t="str">
        <f>IF(O79=""," ",VLOOKUP(O79,'[8]2012 личен състав ОТД'!$A:$AO,12,FALSE))</f>
        <v xml:space="preserve"> </v>
      </c>
      <c r="R79" s="7" t="e">
        <f>IF(A79=""," ",VLOOKUP(A79,'Профилиращ лист'!A:B,2,FALSE))</f>
        <v>#N/A</v>
      </c>
      <c r="T79" s="7" t="e">
        <f t="shared" ca="1" si="23"/>
        <v>#VALUE!</v>
      </c>
    </row>
    <row r="80" spans="1:189" ht="14.1" hidden="1" customHeight="1" x14ac:dyDescent="0.25">
      <c r="A80" s="8"/>
      <c r="B80" s="9">
        <f t="shared" ref="B80:H80" si="29">SUM(B70:B78)</f>
        <v>285</v>
      </c>
      <c r="C80" s="9">
        <f t="shared" si="29"/>
        <v>300</v>
      </c>
      <c r="D80" s="9">
        <f t="shared" si="29"/>
        <v>150</v>
      </c>
      <c r="E80" s="9">
        <f t="shared" si="29"/>
        <v>30</v>
      </c>
      <c r="F80" s="9">
        <f t="shared" si="29"/>
        <v>120</v>
      </c>
      <c r="G80" s="9">
        <f t="shared" si="29"/>
        <v>540</v>
      </c>
      <c r="H80" s="9">
        <f t="shared" si="29"/>
        <v>840</v>
      </c>
      <c r="I80" s="9">
        <f>SUM(I70:I79)</f>
        <v>30</v>
      </c>
      <c r="J80" s="6"/>
      <c r="K80" s="73">
        <f t="shared" si="24"/>
        <v>0</v>
      </c>
      <c r="L80" s="73">
        <f t="shared" si="25"/>
        <v>0</v>
      </c>
      <c r="M80" s="73">
        <f t="shared" si="26"/>
        <v>0</v>
      </c>
      <c r="N80" s="7" t="str">
        <f>IF(O80=""," ",VLOOKUP(O80,'[8]2012 личен състав ОТД'!$A:$AO,2,FALSE))</f>
        <v xml:space="preserve"> </v>
      </c>
      <c r="O80" s="3"/>
      <c r="P80" s="7" t="str">
        <f>IF(O80=""," ",VLOOKUP(O80,'[8]2012 личен състав ОТД'!$A:$AO,13,FALSE))</f>
        <v xml:space="preserve"> </v>
      </c>
      <c r="Q80" s="7" t="str">
        <f>IF(O80=""," ",VLOOKUP(O80,'[8]2012 личен състав ОТД'!$A:$AO,12,FALSE))</f>
        <v xml:space="preserve"> </v>
      </c>
      <c r="R80" s="7" t="str">
        <f>IF(A80=""," ",VLOOKUP(A80,'Профилиращ лист'!A:B,2,FALSE))</f>
        <v xml:space="preserve"> </v>
      </c>
      <c r="T80" s="7" t="e">
        <f t="shared" ca="1" si="23"/>
        <v>#VALUE!</v>
      </c>
    </row>
    <row r="81" spans="1:20" ht="14.1" hidden="1" customHeight="1" x14ac:dyDescent="0.25">
      <c r="A81" s="1" t="s">
        <v>68</v>
      </c>
      <c r="B81" s="1"/>
      <c r="J81" s="6"/>
      <c r="K81" s="73">
        <f t="shared" si="24"/>
        <v>0</v>
      </c>
      <c r="L81" s="73">
        <f t="shared" si="25"/>
        <v>0</v>
      </c>
      <c r="M81" s="73">
        <f t="shared" si="26"/>
        <v>0</v>
      </c>
      <c r="N81" s="7" t="str">
        <f>IF(O81=""," ",VLOOKUP(O81,'[8]2012 личен състав ОТД'!$A:$AO,2,FALSE))</f>
        <v xml:space="preserve"> </v>
      </c>
      <c r="O81" s="3"/>
      <c r="P81" s="7" t="str">
        <f>IF(O81=""," ",VLOOKUP(O81,'[8]2012 личен състав ОТД'!$A:$AO,13,FALSE))</f>
        <v xml:space="preserve"> </v>
      </c>
      <c r="Q81" s="7" t="str">
        <f>IF(O81=""," ",VLOOKUP(O81,'[8]2012 личен състав ОТД'!$A:$AO,12,FALSE))</f>
        <v xml:space="preserve"> </v>
      </c>
      <c r="R81" s="7" t="e">
        <f>IF(A81=""," ",VLOOKUP(A81,'Профилиращ лист'!A:B,2,FALSE))</f>
        <v>#N/A</v>
      </c>
      <c r="T81" s="7" t="e">
        <f t="shared" ca="1" si="23"/>
        <v>#VALUE!</v>
      </c>
    </row>
    <row r="82" spans="1:20" x14ac:dyDescent="0.25">
      <c r="A82" s="67" t="s">
        <v>62</v>
      </c>
      <c r="B82" s="4">
        <v>30</v>
      </c>
      <c r="C82" s="4">
        <v>45</v>
      </c>
      <c r="D82" s="4">
        <v>30</v>
      </c>
      <c r="E82" s="4">
        <v>15</v>
      </c>
      <c r="F82" s="4">
        <v>0</v>
      </c>
      <c r="G82" s="4">
        <f>H82-C82</f>
        <v>75</v>
      </c>
      <c r="H82" s="4">
        <f t="shared" ref="H82:H88" si="30">I82*30</f>
        <v>120</v>
      </c>
      <c r="I82" s="4">
        <v>4</v>
      </c>
      <c r="J82" s="4" t="s">
        <v>12</v>
      </c>
      <c r="K82" s="73">
        <f t="shared" si="24"/>
        <v>90</v>
      </c>
      <c r="L82" s="73">
        <f t="shared" si="25"/>
        <v>75</v>
      </c>
      <c r="M82" s="73">
        <f t="shared" si="26"/>
        <v>15</v>
      </c>
      <c r="N82" s="7" t="str">
        <f>IF(O82=""," ",VLOOKUP(O82,'[8]2012 личен състав ОТД'!$A:$AO,2,FALSE))</f>
        <v>доц. д-р Татяна Ичевска</v>
      </c>
      <c r="O82" s="3" t="s">
        <v>480</v>
      </c>
      <c r="P82" s="7">
        <f>IF(O82=""," ",VLOOKUP(O82,'[8]2012 личен състав ОТД'!$A:$AO,13,FALSE))</f>
        <v>1970</v>
      </c>
      <c r="Q82" s="7" t="str">
        <f>IF(O82=""," ",VLOOKUP(O82,'[8]2012 личен състав ОТД'!$A:$AO,12,FALSE))</f>
        <v>ОТД</v>
      </c>
      <c r="R82" s="7" t="str">
        <f>IF(A82=""," ",VLOOKUP(A82,'Профилиращ лист'!A:B,2,FALSE))</f>
        <v>СПЕ</v>
      </c>
      <c r="T82" s="7">
        <f t="shared" ca="1" si="23"/>
        <v>43</v>
      </c>
    </row>
    <row r="83" spans="1:20" x14ac:dyDescent="0.25">
      <c r="A83" s="67" t="s">
        <v>176</v>
      </c>
      <c r="B83" s="4">
        <v>30</v>
      </c>
      <c r="C83" s="4">
        <v>30</v>
      </c>
      <c r="D83" s="4">
        <v>30</v>
      </c>
      <c r="E83" s="4">
        <v>0</v>
      </c>
      <c r="F83" s="4">
        <v>0</v>
      </c>
      <c r="G83" s="4">
        <f t="shared" ref="G83:G88" si="31">H83-C83</f>
        <v>60</v>
      </c>
      <c r="H83" s="4">
        <f t="shared" si="30"/>
        <v>90</v>
      </c>
      <c r="I83" s="4">
        <v>3</v>
      </c>
      <c r="J83" s="6" t="s">
        <v>12</v>
      </c>
      <c r="K83" s="73">
        <f t="shared" si="24"/>
        <v>60</v>
      </c>
      <c r="L83" s="73">
        <f t="shared" si="25"/>
        <v>60</v>
      </c>
      <c r="M83" s="73">
        <f t="shared" si="26"/>
        <v>0</v>
      </c>
      <c r="N83" s="7" t="str">
        <f>IF(O83=""," ",VLOOKUP(O83,'[8]2012 личен състав ОТД'!$A:$AO,2,FALSE))</f>
        <v>проф. дин Кирил Павликянов</v>
      </c>
      <c r="O83" s="3" t="s">
        <v>510</v>
      </c>
      <c r="P83" s="7">
        <f>IF(O83=""," ",VLOOKUP(O83,'[8]2012 личен състав ОТД'!$A:$AO,13,FALSE))</f>
        <v>1964</v>
      </c>
      <c r="Q83" s="7" t="str">
        <f>IF(O83=""," ",VLOOKUP(O83,'[8]2012 личен състав ОТД'!$A:$AO,12,FALSE))</f>
        <v>ХОН</v>
      </c>
      <c r="R83" s="7" t="s">
        <v>255</v>
      </c>
      <c r="T83" s="7">
        <f t="shared" ca="1" si="23"/>
        <v>49</v>
      </c>
    </row>
    <row r="84" spans="1:20" ht="14.1" hidden="1" customHeight="1" x14ac:dyDescent="0.25">
      <c r="A84" s="8" t="s">
        <v>180</v>
      </c>
      <c r="B84" s="4">
        <v>30</v>
      </c>
      <c r="C84" s="4">
        <v>30</v>
      </c>
      <c r="D84" s="4">
        <v>0</v>
      </c>
      <c r="E84" s="4">
        <v>0</v>
      </c>
      <c r="F84" s="4">
        <v>30</v>
      </c>
      <c r="G84" s="4">
        <f t="shared" si="31"/>
        <v>30</v>
      </c>
      <c r="H84" s="4">
        <f t="shared" si="30"/>
        <v>60</v>
      </c>
      <c r="I84" s="4">
        <v>2</v>
      </c>
      <c r="J84" s="4" t="s">
        <v>18</v>
      </c>
      <c r="K84" s="73">
        <f t="shared" si="24"/>
        <v>30</v>
      </c>
      <c r="L84" s="73">
        <f t="shared" si="25"/>
        <v>0</v>
      </c>
      <c r="M84" s="73">
        <f t="shared" si="26"/>
        <v>30</v>
      </c>
      <c r="N84" s="7" t="str">
        <f>IF(O84=""," ",VLOOKUP(O84,'[8]2012 личен състав ОТД'!$A:$AO,2,FALSE))</f>
        <v xml:space="preserve"> </v>
      </c>
      <c r="O84" s="3"/>
      <c r="P84" s="7" t="str">
        <f>IF(O84=""," ",VLOOKUP(O84,'[8]2012 личен състав ОТД'!$A:$AO,13,FALSE))</f>
        <v xml:space="preserve"> </v>
      </c>
      <c r="Q84" s="7" t="str">
        <f>IF(O84=""," ",VLOOKUP(O84,'[8]2012 личен състав ОТД'!$A:$AO,12,FALSE))</f>
        <v xml:space="preserve"> </v>
      </c>
      <c r="R84" s="7" t="e">
        <f>IF(A84=""," ",VLOOKUP(A84,'Профилиращ лист'!A:B,2,FALSE))</f>
        <v>#N/A</v>
      </c>
      <c r="T84" s="7" t="e">
        <f t="shared" ca="1" si="23"/>
        <v>#VALUE!</v>
      </c>
    </row>
    <row r="85" spans="1:20" ht="14.1" hidden="1" customHeight="1" x14ac:dyDescent="0.25">
      <c r="A85" s="8" t="s">
        <v>161</v>
      </c>
      <c r="B85" s="4">
        <v>90</v>
      </c>
      <c r="C85" s="4">
        <v>90</v>
      </c>
      <c r="D85" s="4">
        <v>0</v>
      </c>
      <c r="E85" s="4">
        <v>0</v>
      </c>
      <c r="F85" s="4">
        <v>90</v>
      </c>
      <c r="G85" s="4">
        <f t="shared" si="31"/>
        <v>120</v>
      </c>
      <c r="H85" s="4">
        <f t="shared" si="30"/>
        <v>210</v>
      </c>
      <c r="I85" s="4">
        <v>7</v>
      </c>
      <c r="J85" s="6" t="s">
        <v>12</v>
      </c>
      <c r="K85" s="73">
        <f t="shared" si="24"/>
        <v>555</v>
      </c>
      <c r="L85" s="73">
        <f t="shared" si="25"/>
        <v>0</v>
      </c>
      <c r="M85" s="73">
        <f t="shared" si="26"/>
        <v>555</v>
      </c>
      <c r="N85" s="7" t="str">
        <f>IF(O85=""," ",VLOOKUP(O85,'[8]2012 личен състав ОТД'!$A:$AO,2,FALSE))</f>
        <v xml:space="preserve"> </v>
      </c>
      <c r="O85" s="3"/>
      <c r="P85" s="7" t="str">
        <f>IF(O85=""," ",VLOOKUP(O85,'[8]2012 личен състав ОТД'!$A:$AO,13,FALSE))</f>
        <v xml:space="preserve"> </v>
      </c>
      <c r="Q85" s="7" t="str">
        <f>IF(O85=""," ",VLOOKUP(O85,'[8]2012 личен състав ОТД'!$A:$AO,12,FALSE))</f>
        <v xml:space="preserve"> </v>
      </c>
      <c r="R85" s="7" t="e">
        <f>IF(A85=""," ",VLOOKUP(A85,'Профилиращ лист'!A:B,2,FALSE))</f>
        <v>#N/A</v>
      </c>
      <c r="T85" s="7" t="e">
        <f t="shared" ca="1" si="23"/>
        <v>#VALUE!</v>
      </c>
    </row>
    <row r="86" spans="1:20" ht="14.1" hidden="1" customHeight="1" x14ac:dyDescent="0.25">
      <c r="A86" s="8" t="s">
        <v>71</v>
      </c>
      <c r="B86" s="4">
        <v>45</v>
      </c>
      <c r="C86" s="4">
        <v>45</v>
      </c>
      <c r="D86" s="4">
        <v>0</v>
      </c>
      <c r="E86" s="4">
        <v>0</v>
      </c>
      <c r="F86" s="4">
        <v>45</v>
      </c>
      <c r="G86" s="4">
        <f t="shared" si="31"/>
        <v>45</v>
      </c>
      <c r="H86" s="4">
        <f t="shared" si="30"/>
        <v>90</v>
      </c>
      <c r="I86" s="4">
        <v>3</v>
      </c>
      <c r="J86" s="4" t="s">
        <v>12</v>
      </c>
      <c r="K86" s="73">
        <f t="shared" si="24"/>
        <v>45</v>
      </c>
      <c r="L86" s="73">
        <f t="shared" si="25"/>
        <v>0</v>
      </c>
      <c r="M86" s="73">
        <f t="shared" si="26"/>
        <v>45</v>
      </c>
      <c r="N86" s="7" t="str">
        <f>IF(O86=""," ",VLOOKUP(O86,'[8]2012 личен състав ОТД'!$A:$AO,2,FALSE))</f>
        <v xml:space="preserve"> </v>
      </c>
      <c r="O86" s="3"/>
      <c r="P86" s="7" t="str">
        <f>IF(O86=""," ",VLOOKUP(O86,'[8]2012 личен състав ОТД'!$A:$AO,13,FALSE))</f>
        <v xml:space="preserve"> </v>
      </c>
      <c r="Q86" s="7" t="str">
        <f>IF(O86=""," ",VLOOKUP(O86,'[8]2012 личен състав ОТД'!$A:$AO,12,FALSE))</f>
        <v xml:space="preserve"> </v>
      </c>
      <c r="R86" s="7" t="str">
        <f>IF(A86=""," ",VLOOKUP(A86,'Профилиращ лист'!A:B,2,FALSE))</f>
        <v>ПЕД</v>
      </c>
      <c r="T86" s="7" t="e">
        <f t="shared" ca="1" si="23"/>
        <v>#VALUE!</v>
      </c>
    </row>
    <row r="87" spans="1:20" ht="14.1" hidden="1" customHeight="1" x14ac:dyDescent="0.25">
      <c r="A87" s="8" t="s">
        <v>181</v>
      </c>
      <c r="B87" s="4">
        <v>30</v>
      </c>
      <c r="C87" s="4">
        <v>30</v>
      </c>
      <c r="D87" s="4">
        <v>0</v>
      </c>
      <c r="E87" s="4">
        <v>0</v>
      </c>
      <c r="F87" s="4">
        <v>30</v>
      </c>
      <c r="G87" s="4">
        <f t="shared" si="31"/>
        <v>60</v>
      </c>
      <c r="H87" s="4">
        <f t="shared" si="30"/>
        <v>90</v>
      </c>
      <c r="I87" s="4">
        <v>3</v>
      </c>
      <c r="J87" s="6" t="s">
        <v>12</v>
      </c>
      <c r="K87" s="73">
        <f t="shared" si="24"/>
        <v>30</v>
      </c>
      <c r="L87" s="73">
        <f t="shared" si="25"/>
        <v>0</v>
      </c>
      <c r="M87" s="73">
        <f t="shared" si="26"/>
        <v>30</v>
      </c>
      <c r="N87" s="7" t="str">
        <f>IF(O87=""," ",VLOOKUP(O87,'[8]2012 личен състав ОТД'!$A:$AO,2,FALSE))</f>
        <v xml:space="preserve"> </v>
      </c>
      <c r="O87" s="3"/>
      <c r="P87" s="7" t="str">
        <f>IF(O87=""," ",VLOOKUP(O87,'[8]2012 личен състав ОТД'!$A:$AO,13,FALSE))</f>
        <v xml:space="preserve"> </v>
      </c>
      <c r="Q87" s="7" t="str">
        <f>IF(O87=""," ",VLOOKUP(O87,'[8]2012 личен състав ОТД'!$A:$AO,12,FALSE))</f>
        <v xml:space="preserve"> </v>
      </c>
      <c r="R87" s="7" t="e">
        <f>IF(A87=""," ",VLOOKUP(A87,'Профилиращ лист'!A:B,2,FALSE))</f>
        <v>#N/A</v>
      </c>
      <c r="T87" s="7" t="e">
        <f t="shared" ca="1" si="23"/>
        <v>#VALUE!</v>
      </c>
    </row>
    <row r="88" spans="1:20" x14ac:dyDescent="0.25">
      <c r="A88" s="67" t="s">
        <v>74</v>
      </c>
      <c r="B88" s="4">
        <v>30</v>
      </c>
      <c r="C88" s="4">
        <v>45</v>
      </c>
      <c r="D88" s="4">
        <v>30</v>
      </c>
      <c r="E88" s="4">
        <v>15</v>
      </c>
      <c r="F88" s="4">
        <v>0</v>
      </c>
      <c r="G88" s="4">
        <f t="shared" si="31"/>
        <v>75</v>
      </c>
      <c r="H88" s="4">
        <f t="shared" si="30"/>
        <v>120</v>
      </c>
      <c r="I88" s="4">
        <v>4</v>
      </c>
      <c r="J88" s="4" t="s">
        <v>12</v>
      </c>
      <c r="K88" s="73">
        <f t="shared" si="24"/>
        <v>45</v>
      </c>
      <c r="L88" s="73">
        <f t="shared" si="25"/>
        <v>30</v>
      </c>
      <c r="M88" s="73">
        <f t="shared" si="26"/>
        <v>15</v>
      </c>
      <c r="N88" s="7" t="str">
        <f>IF(O88=""," ",VLOOKUP(O88,'[8]2012 личен състав ОТД'!$A:$AO,2,FALSE))</f>
        <v>доц. дфн Вера Маровска</v>
      </c>
      <c r="O88" s="3" t="str">
        <f>IF(A88=""," ",VLOOKUP(A88,'Български и испански език'!A:O,15,FALSE))</f>
        <v>маровска</v>
      </c>
      <c r="P88" s="7">
        <f>IF(O88=""," ",VLOOKUP(O88,'[8]2012 личен състав ОТД'!$A:$AO,13,FALSE))</f>
        <v>1954</v>
      </c>
      <c r="Q88" s="7" t="str">
        <f>IF(O88=""," ",VLOOKUP(O88,'[8]2012 личен състав ОТД'!$A:$AO,12,FALSE))</f>
        <v>ОТД</v>
      </c>
      <c r="R88" s="7" t="str">
        <f>IF(A88=""," ",VLOOKUP(A88,'Профилиращ лист'!A:B,2,FALSE))</f>
        <v>СПЕ</v>
      </c>
      <c r="T88" s="7">
        <f t="shared" ca="1" si="23"/>
        <v>59</v>
      </c>
    </row>
    <row r="89" spans="1:20" x14ac:dyDescent="0.25">
      <c r="A89" s="67" t="s">
        <v>179</v>
      </c>
      <c r="B89" s="4">
        <v>30</v>
      </c>
      <c r="C89" s="4">
        <v>45</v>
      </c>
      <c r="D89" s="4">
        <v>15</v>
      </c>
      <c r="E89" s="4">
        <v>0</v>
      </c>
      <c r="F89" s="4">
        <v>0</v>
      </c>
      <c r="G89" s="4">
        <f>H89-C89</f>
        <v>75</v>
      </c>
      <c r="H89" s="4">
        <f>I89*30</f>
        <v>120</v>
      </c>
      <c r="I89" s="4">
        <v>4</v>
      </c>
      <c r="J89" s="6" t="s">
        <v>12</v>
      </c>
      <c r="K89" s="73">
        <f t="shared" si="24"/>
        <v>90</v>
      </c>
      <c r="L89" s="73">
        <f t="shared" si="25"/>
        <v>30</v>
      </c>
      <c r="M89" s="73">
        <f t="shared" si="26"/>
        <v>0</v>
      </c>
      <c r="N89" s="7" t="s">
        <v>512</v>
      </c>
      <c r="O89" s="3" t="s">
        <v>511</v>
      </c>
      <c r="P89" s="7">
        <v>1965</v>
      </c>
      <c r="Q89" s="7" t="s">
        <v>475</v>
      </c>
      <c r="R89" s="7" t="s">
        <v>255</v>
      </c>
      <c r="T89" s="7">
        <f t="shared" ca="1" si="23"/>
        <v>48</v>
      </c>
    </row>
    <row r="90" spans="1:20" ht="14.1" hidden="1" customHeight="1" x14ac:dyDescent="0.25">
      <c r="A90" s="8"/>
      <c r="B90" s="9">
        <f>SUM(B82:B89)</f>
        <v>315</v>
      </c>
      <c r="C90" s="9">
        <f>SUM(C82:C89)</f>
        <v>360</v>
      </c>
      <c r="D90" s="9">
        <f t="shared" ref="D90:I90" si="32">SUM(D82:D89)</f>
        <v>105</v>
      </c>
      <c r="E90" s="9">
        <f t="shared" si="32"/>
        <v>30</v>
      </c>
      <c r="F90" s="9">
        <f t="shared" si="32"/>
        <v>195</v>
      </c>
      <c r="G90" s="9">
        <f t="shared" si="32"/>
        <v>540</v>
      </c>
      <c r="H90" s="9">
        <f t="shared" si="32"/>
        <v>900</v>
      </c>
      <c r="I90" s="9">
        <f t="shared" si="32"/>
        <v>30</v>
      </c>
      <c r="J90" s="6"/>
      <c r="K90" s="73">
        <f t="shared" si="24"/>
        <v>0</v>
      </c>
      <c r="L90" s="73">
        <f t="shared" si="25"/>
        <v>0</v>
      </c>
      <c r="M90" s="73">
        <f t="shared" si="26"/>
        <v>0</v>
      </c>
      <c r="N90" s="7" t="str">
        <f>IF(O90=""," ",VLOOKUP(O90,'[8]2012 личен състав ОТД'!$A:$AO,2,FALSE))</f>
        <v xml:space="preserve"> </v>
      </c>
      <c r="O90" s="3"/>
      <c r="P90" s="7" t="str">
        <f>IF(O90=""," ",VLOOKUP(O90,'[8]2012 личен състав ОТД'!$A:$AO,13,FALSE))</f>
        <v xml:space="preserve"> </v>
      </c>
      <c r="Q90" s="7" t="str">
        <f>IF(O90=""," ",VLOOKUP(O90,'[8]2012 личен състав ОТД'!$A:$AO,12,FALSE))</f>
        <v xml:space="preserve"> </v>
      </c>
      <c r="R90" s="7" t="str">
        <f>IF(A90=""," ",VLOOKUP(A90,'Профилиращ лист'!A:B,2,FALSE))</f>
        <v xml:space="preserve"> </v>
      </c>
      <c r="T90" s="7" t="e">
        <f t="shared" ca="1" si="23"/>
        <v>#VALUE!</v>
      </c>
    </row>
    <row r="91" spans="1:20" ht="14.1" hidden="1" customHeight="1" x14ac:dyDescent="0.25">
      <c r="A91" s="1" t="s">
        <v>75</v>
      </c>
      <c r="B91" s="1"/>
      <c r="J91" s="14"/>
      <c r="K91" s="73">
        <f t="shared" si="24"/>
        <v>0</v>
      </c>
      <c r="L91" s="73">
        <f t="shared" si="25"/>
        <v>0</v>
      </c>
      <c r="M91" s="73">
        <f t="shared" si="26"/>
        <v>0</v>
      </c>
      <c r="N91" s="7" t="str">
        <f>IF(O91=""," ",VLOOKUP(O91,'[8]2012 личен състав ОТД'!$A:$AO,2,FALSE))</f>
        <v xml:space="preserve"> </v>
      </c>
      <c r="O91" s="3"/>
      <c r="P91" s="7" t="str">
        <f>IF(O91=""," ",VLOOKUP(O91,'[8]2012 личен състав ОТД'!$A:$AO,13,FALSE))</f>
        <v xml:space="preserve"> </v>
      </c>
      <c r="Q91" s="7" t="str">
        <f>IF(O91=""," ",VLOOKUP(O91,'[8]2012 личен състав ОТД'!$A:$AO,12,FALSE))</f>
        <v xml:space="preserve"> </v>
      </c>
      <c r="R91" s="7" t="e">
        <f>IF(A91=""," ",VLOOKUP(A91,'Профилиращ лист'!A:B,2,FALSE))</f>
        <v>#N/A</v>
      </c>
      <c r="T91" s="7" t="e">
        <f t="shared" ca="1" si="23"/>
        <v>#VALUE!</v>
      </c>
    </row>
    <row r="92" spans="1:20" ht="14.1" hidden="1" customHeight="1" x14ac:dyDescent="0.25">
      <c r="A92" s="8" t="s">
        <v>77</v>
      </c>
      <c r="I92" s="4">
        <v>2</v>
      </c>
      <c r="J92" s="6" t="s">
        <v>12</v>
      </c>
      <c r="K92" s="73">
        <f t="shared" si="24"/>
        <v>0</v>
      </c>
      <c r="L92" s="73">
        <f t="shared" si="25"/>
        <v>0</v>
      </c>
      <c r="M92" s="73">
        <f t="shared" si="26"/>
        <v>0</v>
      </c>
      <c r="N92" s="7" t="str">
        <f>IF(O92=""," ",VLOOKUP(O92,'[8]2012 личен състав ОТД'!$A:$AO,2,FALSE))</f>
        <v xml:space="preserve"> </v>
      </c>
      <c r="O92" s="3"/>
      <c r="P92" s="7" t="str">
        <f>IF(O92=""," ",VLOOKUP(O92,'[8]2012 личен състав ОТД'!$A:$AO,13,FALSE))</f>
        <v xml:space="preserve"> </v>
      </c>
      <c r="Q92" s="7" t="str">
        <f>IF(O92=""," ",VLOOKUP(O92,'[8]2012 личен състав ОТД'!$A:$AO,12,FALSE))</f>
        <v xml:space="preserve"> </v>
      </c>
      <c r="R92" s="7" t="e">
        <f>IF(A92=""," ",VLOOKUP(A92,'Профилиращ лист'!A:B,2,FALSE))</f>
        <v>#N/A</v>
      </c>
      <c r="T92" s="7" t="e">
        <f t="shared" ca="1" si="23"/>
        <v>#VALUE!</v>
      </c>
    </row>
    <row r="93" spans="1:20" ht="14.1" hidden="1" customHeight="1" x14ac:dyDescent="0.25">
      <c r="A93" s="8" t="s">
        <v>182</v>
      </c>
      <c r="I93" s="4">
        <v>2</v>
      </c>
      <c r="J93" s="6" t="s">
        <v>12</v>
      </c>
      <c r="K93" s="73">
        <f t="shared" si="24"/>
        <v>0</v>
      </c>
      <c r="L93" s="73">
        <f t="shared" si="25"/>
        <v>0</v>
      </c>
      <c r="M93" s="73">
        <f t="shared" si="26"/>
        <v>0</v>
      </c>
      <c r="N93" s="7" t="str">
        <f>IF(O93=""," ",VLOOKUP(O93,'[8]2012 личен състав ОТД'!$A:$AO,2,FALSE))</f>
        <v xml:space="preserve"> </v>
      </c>
      <c r="O93" s="3"/>
      <c r="P93" s="7" t="str">
        <f>IF(O93=""," ",VLOOKUP(O93,'[8]2012 личен състав ОТД'!$A:$AO,13,FALSE))</f>
        <v xml:space="preserve"> </v>
      </c>
      <c r="Q93" s="7" t="str">
        <f>IF(O93=""," ",VLOOKUP(O93,'[8]2012 личен състав ОТД'!$A:$AO,12,FALSE))</f>
        <v xml:space="preserve"> </v>
      </c>
      <c r="R93" s="7" t="e">
        <f>IF(A93=""," ",VLOOKUP(A93,'Профилиращ лист'!A:B,2,FALSE))</f>
        <v>#N/A</v>
      </c>
      <c r="T93" s="7" t="e">
        <f t="shared" ca="1" si="23"/>
        <v>#VALUE!</v>
      </c>
    </row>
    <row r="94" spans="1:20" ht="14.1" hidden="1" customHeight="1" x14ac:dyDescent="0.25">
      <c r="A94" s="8" t="s">
        <v>79</v>
      </c>
      <c r="I94" s="4">
        <v>3</v>
      </c>
      <c r="J94" s="6" t="s">
        <v>12</v>
      </c>
      <c r="K94" s="73">
        <f t="shared" si="24"/>
        <v>0</v>
      </c>
      <c r="L94" s="73">
        <f t="shared" si="25"/>
        <v>0</v>
      </c>
      <c r="M94" s="73">
        <f t="shared" si="26"/>
        <v>0</v>
      </c>
      <c r="N94" s="7" t="str">
        <f>IF(O94=""," ",VLOOKUP(O94,'[8]2012 личен състав ОТД'!$A:$AO,2,FALSE))</f>
        <v xml:space="preserve"> </v>
      </c>
      <c r="O94" s="3"/>
      <c r="P94" s="7" t="str">
        <f>IF(O94=""," ",VLOOKUP(O94,'[8]2012 личен състав ОТД'!$A:$AO,13,FALSE))</f>
        <v xml:space="preserve"> </v>
      </c>
      <c r="Q94" s="7" t="str">
        <f>IF(O94=""," ",VLOOKUP(O94,'[8]2012 личен състав ОТД'!$A:$AO,12,FALSE))</f>
        <v xml:space="preserve"> </v>
      </c>
      <c r="R94" s="7" t="e">
        <f>IF(A94=""," ",VLOOKUP(A94,'Профилиращ лист'!A:B,2,FALSE))</f>
        <v>#N/A</v>
      </c>
      <c r="T94" s="7" t="e">
        <f t="shared" ca="1" si="23"/>
        <v>#VALUE!</v>
      </c>
    </row>
    <row r="95" spans="1:20" ht="14.1" hidden="1" customHeight="1" x14ac:dyDescent="0.25">
      <c r="A95" s="8" t="s">
        <v>183</v>
      </c>
      <c r="I95" s="4">
        <v>3</v>
      </c>
      <c r="J95" s="6" t="s">
        <v>12</v>
      </c>
      <c r="K95" s="73">
        <f t="shared" si="24"/>
        <v>0</v>
      </c>
      <c r="L95" s="73">
        <f t="shared" si="25"/>
        <v>0</v>
      </c>
      <c r="M95" s="73">
        <f t="shared" si="26"/>
        <v>0</v>
      </c>
      <c r="N95" s="7" t="str">
        <f>IF(O95=""," ",VLOOKUP(O95,'[8]2012 личен състав ОТД'!$A:$AO,2,FALSE))</f>
        <v xml:space="preserve"> </v>
      </c>
      <c r="O95" s="3"/>
      <c r="P95" s="7" t="str">
        <f>IF(O95=""," ",VLOOKUP(O95,'[8]2012 личен състав ОТД'!$A:$AO,13,FALSE))</f>
        <v xml:space="preserve"> </v>
      </c>
      <c r="Q95" s="7" t="str">
        <f>IF(O95=""," ",VLOOKUP(O95,'[8]2012 личен състав ОТД'!$A:$AO,12,FALSE))</f>
        <v xml:space="preserve"> </v>
      </c>
      <c r="R95" s="7" t="e">
        <f>IF(A95=""," ",VLOOKUP(A95,'Профилиращ лист'!A:B,2,FALSE))</f>
        <v>#N/A</v>
      </c>
      <c r="T95" s="7" t="e">
        <f t="shared" ca="1" si="23"/>
        <v>#VALUE!</v>
      </c>
    </row>
    <row r="96" spans="1:20" ht="14.1" hidden="1" customHeight="1" x14ac:dyDescent="0.25">
      <c r="A96" s="8"/>
      <c r="I96" s="11">
        <f>SUM(I92:I95)</f>
        <v>10</v>
      </c>
      <c r="J96" s="6"/>
      <c r="K96" s="73">
        <f t="shared" si="24"/>
        <v>0</v>
      </c>
      <c r="L96" s="73">
        <f t="shared" si="25"/>
        <v>0</v>
      </c>
      <c r="M96" s="73">
        <f t="shared" si="26"/>
        <v>0</v>
      </c>
      <c r="N96" s="7" t="str">
        <f>IF(O96=""," ",VLOOKUP(O96,'[8]2012 личен състав ОТД'!$A:$AO,2,FALSE))</f>
        <v xml:space="preserve"> </v>
      </c>
      <c r="O96" s="3"/>
      <c r="P96" s="7" t="str">
        <f>IF(O96=""," ",VLOOKUP(O96,'[8]2012 личен състав ОТД'!$A:$AO,13,FALSE))</f>
        <v xml:space="preserve"> </v>
      </c>
      <c r="Q96" s="7" t="str">
        <f>IF(O96=""," ",VLOOKUP(O96,'[8]2012 личен състав ОТД'!$A:$AO,12,FALSE))</f>
        <v xml:space="preserve"> </v>
      </c>
      <c r="R96" s="7" t="str">
        <f>IF(A96=""," ",VLOOKUP(A96,'Профилиращ лист'!A:B,2,FALSE))</f>
        <v xml:space="preserve"> </v>
      </c>
    </row>
    <row r="97" spans="1:21" s="10" customFormat="1" ht="14.1" hidden="1" customHeight="1" x14ac:dyDescent="0.25">
      <c r="A97" s="12" t="s">
        <v>80</v>
      </c>
      <c r="B97" s="9">
        <f t="shared" ref="B97:H97" si="33">B90+B80+B68+B56+B44+B33+B22+B12</f>
        <v>2535</v>
      </c>
      <c r="C97" s="9">
        <f t="shared" si="33"/>
        <v>2940</v>
      </c>
      <c r="D97" s="9">
        <f t="shared" si="33"/>
        <v>1410</v>
      </c>
      <c r="E97" s="9">
        <f t="shared" si="33"/>
        <v>495</v>
      </c>
      <c r="F97" s="9">
        <f t="shared" si="33"/>
        <v>1005</v>
      </c>
      <c r="G97" s="9">
        <f t="shared" si="33"/>
        <v>3960</v>
      </c>
      <c r="H97" s="9">
        <f t="shared" si="33"/>
        <v>6900</v>
      </c>
      <c r="I97" s="11">
        <f>I90+I80+I68+I56+I44+I33+I22+I12+I96</f>
        <v>250</v>
      </c>
      <c r="K97" s="73">
        <f t="shared" si="24"/>
        <v>2940</v>
      </c>
      <c r="L97" s="73">
        <f t="shared" si="25"/>
        <v>1410</v>
      </c>
      <c r="M97" s="73">
        <f t="shared" si="26"/>
        <v>1500</v>
      </c>
      <c r="N97" s="7" t="str">
        <f>IF(O97=""," ",VLOOKUP(O97,'[8]2012 личен състав ОТД'!$A:$AO,2,FALSE))</f>
        <v xml:space="preserve"> </v>
      </c>
      <c r="O97" s="3"/>
      <c r="P97" s="7" t="str">
        <f>IF(O97=""," ",VLOOKUP(O97,'[8]2012 личен състав ОТД'!$A:$AO,13,FALSE))</f>
        <v xml:space="preserve"> </v>
      </c>
      <c r="Q97" s="7" t="str">
        <f>IF(O97=""," ",VLOOKUP(O97,'[8]2012 личен състав ОТД'!$A:$AO,12,FALSE))</f>
        <v xml:space="preserve"> </v>
      </c>
      <c r="R97" s="7" t="e">
        <f>IF(A97=""," ",VLOOKUP(A97,'Профилиращ лист'!A:B,2,FALSE))</f>
        <v>#N/A</v>
      </c>
      <c r="S97" s="7"/>
      <c r="T97" s="7"/>
      <c r="U97" s="7"/>
    </row>
    <row r="98" spans="1:21" s="10" customFormat="1" ht="15" hidden="1" customHeight="1" x14ac:dyDescent="0.25">
      <c r="A98" s="8"/>
      <c r="B98" s="8"/>
      <c r="C98" s="4">
        <f>C97/120</f>
        <v>24.5</v>
      </c>
      <c r="D98" s="4">
        <f t="shared" ref="D98:I98" si="34">D97/120</f>
        <v>11.75</v>
      </c>
      <c r="E98" s="4">
        <f t="shared" si="34"/>
        <v>4.125</v>
      </c>
      <c r="F98" s="4">
        <f t="shared" si="34"/>
        <v>8.375</v>
      </c>
      <c r="G98" s="4">
        <f t="shared" si="34"/>
        <v>33</v>
      </c>
      <c r="H98" s="4">
        <f t="shared" si="34"/>
        <v>57.5</v>
      </c>
      <c r="I98" s="5">
        <f t="shared" si="34"/>
        <v>2.0833333333333335</v>
      </c>
      <c r="K98" s="73">
        <f t="shared" si="24"/>
        <v>0</v>
      </c>
      <c r="L98" s="73">
        <f t="shared" si="25"/>
        <v>0</v>
      </c>
      <c r="M98" s="73">
        <f t="shared" si="26"/>
        <v>0</v>
      </c>
      <c r="N98" s="7" t="str">
        <f>IF(O98=""," ",VLOOKUP(O98,'[8]2012 личен състав ОТД'!$A:$AO,2,FALSE))</f>
        <v xml:space="preserve"> </v>
      </c>
      <c r="O98" s="3"/>
      <c r="P98" s="7" t="str">
        <f>IF(O98=""," ",VLOOKUP(O98,'[8]2012 личен състав ОТД'!$A:$AO,13,FALSE))</f>
        <v xml:space="preserve"> </v>
      </c>
      <c r="Q98" s="7" t="str">
        <f>IF(O98=""," ",VLOOKUP(O98,'[8]2012 личен състав ОТД'!$A:$AO,12,FALSE))</f>
        <v xml:space="preserve"> </v>
      </c>
      <c r="R98" s="7" t="str">
        <f>IF(A98=""," ",VLOOKUP(A98,'Профилиращ лист'!A:B,2,FALSE))</f>
        <v xml:space="preserve"> </v>
      </c>
      <c r="S98" s="7"/>
      <c r="T98" s="7"/>
      <c r="U98" s="7"/>
    </row>
    <row r="99" spans="1:21" ht="15" hidden="1" customHeight="1" x14ac:dyDescent="0.25">
      <c r="A99" s="8"/>
      <c r="K99" s="73">
        <f t="shared" si="24"/>
        <v>0</v>
      </c>
      <c r="L99" s="73">
        <f t="shared" si="25"/>
        <v>0</v>
      </c>
      <c r="M99" s="73">
        <f t="shared" si="26"/>
        <v>0</v>
      </c>
      <c r="N99" s="7" t="str">
        <f>IF(O99=""," ",VLOOKUP(O99,'[8]2012 личен състав ОТД'!$A:$AO,2,FALSE))</f>
        <v xml:space="preserve"> </v>
      </c>
      <c r="O99" s="3"/>
      <c r="P99" s="7" t="str">
        <f>IF(O99=""," ",VLOOKUP(O99,'[8]2012 личен състав ОТД'!$A:$AO,13,FALSE))</f>
        <v xml:space="preserve"> </v>
      </c>
      <c r="Q99" s="7" t="str">
        <f>IF(O99=""," ",VLOOKUP(O99,'[8]2012 личен състав ОТД'!$A:$AO,12,FALSE))</f>
        <v xml:space="preserve"> </v>
      </c>
      <c r="R99" s="7" t="str">
        <f>IF(A99=""," ",VLOOKUP(A99,'Профилиращ лист'!A:B,2,FALSE))</f>
        <v xml:space="preserve"> </v>
      </c>
    </row>
    <row r="100" spans="1:21" ht="15" hidden="1" customHeight="1" x14ac:dyDescent="0.25">
      <c r="A100" s="8"/>
      <c r="K100" s="73">
        <f t="shared" si="24"/>
        <v>0</v>
      </c>
      <c r="L100" s="73">
        <f t="shared" si="25"/>
        <v>0</v>
      </c>
      <c r="M100" s="73">
        <f t="shared" si="26"/>
        <v>0</v>
      </c>
      <c r="N100" s="7" t="str">
        <f>IF(O100=""," ",VLOOKUP(O100,'[8]2012 личен състав ОТД'!$A:$AO,2,FALSE))</f>
        <v xml:space="preserve"> </v>
      </c>
      <c r="O100" s="3"/>
      <c r="P100" s="7" t="str">
        <f>IF(O100=""," ",VLOOKUP(O100,'[8]2012 личен състав ОТД'!$A:$AO,13,FALSE))</f>
        <v xml:space="preserve"> </v>
      </c>
      <c r="Q100" s="7" t="str">
        <f>IF(O100=""," ",VLOOKUP(O100,'[8]2012 личен състав ОТД'!$A:$AO,12,FALSE))</f>
        <v xml:space="preserve"> </v>
      </c>
      <c r="R100" s="7" t="str">
        <f>IF(A100=""," ",VLOOKUP(A100,'Профилиращ лист'!A:B,2,FALSE))</f>
        <v xml:space="preserve"> </v>
      </c>
    </row>
    <row r="101" spans="1:21" ht="15" hidden="1" customHeight="1" x14ac:dyDescent="0.25">
      <c r="A101" s="8"/>
      <c r="K101" s="73">
        <f t="shared" si="24"/>
        <v>0</v>
      </c>
      <c r="L101" s="73">
        <f t="shared" si="25"/>
        <v>0</v>
      </c>
      <c r="M101" s="73">
        <f t="shared" si="26"/>
        <v>0</v>
      </c>
      <c r="N101" s="7" t="str">
        <f>IF(O101=""," ",VLOOKUP(O101,'[8]2012 личен състав ОТД'!$A:$AO,2,FALSE))</f>
        <v xml:space="preserve"> </v>
      </c>
      <c r="O101" s="3"/>
      <c r="P101" s="7" t="str">
        <f>IF(O101=""," ",VLOOKUP(O101,'[8]2012 личен състав ОТД'!$A:$AO,13,FALSE))</f>
        <v xml:space="preserve"> </v>
      </c>
      <c r="Q101" s="7" t="str">
        <f>IF(O101=""," ",VLOOKUP(O101,'[8]2012 личен състав ОТД'!$A:$AO,12,FALSE))</f>
        <v xml:space="preserve"> </v>
      </c>
      <c r="R101" s="7" t="str">
        <f>IF(A101=""," ",VLOOKUP(A101,'Профилиращ лист'!A:B,2,FALSE))</f>
        <v xml:space="preserve"> </v>
      </c>
    </row>
    <row r="102" spans="1:21" ht="15" hidden="1" customHeight="1" x14ac:dyDescent="0.25">
      <c r="A102" s="8"/>
      <c r="K102" s="73">
        <f t="shared" si="24"/>
        <v>0</v>
      </c>
      <c r="L102" s="73">
        <f t="shared" si="25"/>
        <v>0</v>
      </c>
      <c r="M102" s="73">
        <f t="shared" si="26"/>
        <v>0</v>
      </c>
      <c r="N102" s="7" t="str">
        <f>IF(O102=""," ",VLOOKUP(O102,'[8]2012 личен състав ОТД'!$A:$AO,2,FALSE))</f>
        <v xml:space="preserve"> </v>
      </c>
      <c r="O102" s="3"/>
      <c r="P102" s="7" t="str">
        <f>IF(O102=""," ",VLOOKUP(O102,'[8]2012 личен състав ОТД'!$A:$AO,13,FALSE))</f>
        <v xml:space="preserve"> </v>
      </c>
      <c r="Q102" s="7" t="str">
        <f>IF(O102=""," ",VLOOKUP(O102,'[8]2012 личен състав ОТД'!$A:$AO,12,FALSE))</f>
        <v xml:space="preserve"> </v>
      </c>
      <c r="R102" s="7" t="str">
        <f>IF(A102=""," ",VLOOKUP(A102,'Профилиращ лист'!A:B,2,FALSE))</f>
        <v xml:space="preserve"> </v>
      </c>
    </row>
    <row r="103" spans="1:21" ht="15" hidden="1" customHeight="1" x14ac:dyDescent="0.25">
      <c r="A103" s="8"/>
      <c r="K103" s="73">
        <f t="shared" si="24"/>
        <v>0</v>
      </c>
      <c r="L103" s="73">
        <f t="shared" si="25"/>
        <v>0</v>
      </c>
      <c r="M103" s="73">
        <f t="shared" si="26"/>
        <v>0</v>
      </c>
      <c r="N103" s="7" t="str">
        <f>IF(O103=""," ",VLOOKUP(O103,'[8]2012 личен състав ОТД'!$A:$AO,2,FALSE))</f>
        <v xml:space="preserve"> </v>
      </c>
      <c r="O103" s="3"/>
      <c r="P103" s="7" t="str">
        <f>IF(O103=""," ",VLOOKUP(O103,'[8]2012 личен състав ОТД'!$A:$AO,13,FALSE))</f>
        <v xml:space="preserve"> </v>
      </c>
      <c r="Q103" s="7" t="str">
        <f>IF(O103=""," ",VLOOKUP(O103,'[8]2012 личен състав ОТД'!$A:$AO,12,FALSE))</f>
        <v xml:space="preserve"> </v>
      </c>
      <c r="R103" s="7" t="str">
        <f>IF(A103=""," ",VLOOKUP(A103,'Профилиращ лист'!A:B,2,FALSE))</f>
        <v xml:space="preserve"> </v>
      </c>
    </row>
    <row r="104" spans="1:21" ht="15" hidden="1" customHeight="1" x14ac:dyDescent="0.25">
      <c r="A104" s="8"/>
      <c r="K104" s="73">
        <f t="shared" si="24"/>
        <v>0</v>
      </c>
      <c r="L104" s="73">
        <f t="shared" si="25"/>
        <v>0</v>
      </c>
      <c r="M104" s="73">
        <f t="shared" si="26"/>
        <v>0</v>
      </c>
      <c r="N104" s="7" t="str">
        <f>IF(O104=""," ",VLOOKUP(O104,'[8]2012 личен състав ОТД'!$A:$AO,2,FALSE))</f>
        <v xml:space="preserve"> </v>
      </c>
      <c r="O104" s="3"/>
      <c r="P104" s="7" t="str">
        <f>IF(O104=""," ",VLOOKUP(O104,'[8]2012 личен състав ОТД'!$A:$AO,13,FALSE))</f>
        <v xml:space="preserve"> </v>
      </c>
      <c r="Q104" s="7" t="str">
        <f>IF(O104=""," ",VLOOKUP(O104,'[8]2012 личен състав ОТД'!$A:$AO,12,FALSE))</f>
        <v xml:space="preserve"> </v>
      </c>
      <c r="R104" s="7" t="str">
        <f>IF(A104=""," ",VLOOKUP(A104,'Профилиращ лист'!A:B,2,FALSE))</f>
        <v xml:space="preserve"> </v>
      </c>
    </row>
    <row r="105" spans="1:21" ht="15" hidden="1" customHeight="1" x14ac:dyDescent="0.25">
      <c r="A105" s="8"/>
      <c r="K105" s="73">
        <f t="shared" si="24"/>
        <v>0</v>
      </c>
      <c r="L105" s="73">
        <f t="shared" si="25"/>
        <v>0</v>
      </c>
      <c r="M105" s="73">
        <f t="shared" si="26"/>
        <v>0</v>
      </c>
      <c r="N105" s="7" t="str">
        <f>IF(O105=""," ",VLOOKUP(O105,'[8]2012 личен състав ОТД'!$A:$AO,2,FALSE))</f>
        <v xml:space="preserve"> </v>
      </c>
      <c r="O105" s="3"/>
      <c r="P105" s="7" t="str">
        <f>IF(O105=""," ",VLOOKUP(O105,'[8]2012 личен състав ОТД'!$A:$AO,13,FALSE))</f>
        <v xml:space="preserve"> </v>
      </c>
      <c r="Q105" s="7" t="str">
        <f>IF(O105=""," ",VLOOKUP(O105,'[8]2012 личен състав ОТД'!$A:$AO,12,FALSE))</f>
        <v xml:space="preserve"> </v>
      </c>
      <c r="R105" s="7" t="str">
        <f>IF(A105=""," ",VLOOKUP(A105,'Профилиращ лист'!A:B,2,FALSE))</f>
        <v xml:space="preserve"> </v>
      </c>
    </row>
    <row r="106" spans="1:21" ht="15" hidden="1" customHeight="1" x14ac:dyDescent="0.25">
      <c r="A106" s="8"/>
      <c r="K106" s="73">
        <f t="shared" si="24"/>
        <v>0</v>
      </c>
      <c r="L106" s="73">
        <f t="shared" si="25"/>
        <v>0</v>
      </c>
      <c r="M106" s="73">
        <f t="shared" si="26"/>
        <v>0</v>
      </c>
      <c r="N106" s="7" t="str">
        <f>IF(O106=""," ",VLOOKUP(O106,'[8]2012 личен състав ОТД'!$A:$AO,2,FALSE))</f>
        <v xml:space="preserve"> </v>
      </c>
      <c r="O106" s="3"/>
      <c r="P106" s="7" t="str">
        <f>IF(O106=""," ",VLOOKUP(O106,'[8]2012 личен състав ОТД'!$A:$AO,13,FALSE))</f>
        <v xml:space="preserve"> </v>
      </c>
      <c r="Q106" s="7" t="str">
        <f>IF(O106=""," ",VLOOKUP(O106,'[8]2012 личен състав ОТД'!$A:$AO,12,FALSE))</f>
        <v xml:space="preserve"> </v>
      </c>
      <c r="R106" s="7" t="str">
        <f>IF(A106=""," ",VLOOKUP(A106,'Профилиращ лист'!A:B,2,FALSE))</f>
        <v xml:space="preserve"> </v>
      </c>
    </row>
    <row r="107" spans="1:21" ht="15" hidden="1" customHeight="1" x14ac:dyDescent="0.25">
      <c r="A107" s="8"/>
      <c r="K107" s="73">
        <f t="shared" si="24"/>
        <v>0</v>
      </c>
      <c r="L107" s="73">
        <f t="shared" si="25"/>
        <v>0</v>
      </c>
      <c r="M107" s="73">
        <f t="shared" si="26"/>
        <v>0</v>
      </c>
      <c r="N107" s="7" t="str">
        <f>IF(O107=""," ",VLOOKUP(O107,'[8]2012 личен състав ОТД'!$A:$AO,2,FALSE))</f>
        <v xml:space="preserve"> </v>
      </c>
      <c r="O107" s="3"/>
      <c r="P107" s="7" t="str">
        <f>IF(O107=""," ",VLOOKUP(O107,'[8]2012 личен състав ОТД'!$A:$AO,13,FALSE))</f>
        <v xml:space="preserve"> </v>
      </c>
      <c r="Q107" s="7" t="str">
        <f>IF(O107=""," ",VLOOKUP(O107,'[8]2012 личен състав ОТД'!$A:$AO,12,FALSE))</f>
        <v xml:space="preserve"> </v>
      </c>
      <c r="R107" s="7" t="str">
        <f>IF(A107=""," ",VLOOKUP(A107,'Профилиращ лист'!A:B,2,FALSE))</f>
        <v xml:space="preserve"> </v>
      </c>
    </row>
    <row r="108" spans="1:21" ht="15" hidden="1" customHeight="1" x14ac:dyDescent="0.25">
      <c r="A108" s="8"/>
      <c r="K108" s="73">
        <f t="shared" si="24"/>
        <v>0</v>
      </c>
      <c r="L108" s="73">
        <f t="shared" si="25"/>
        <v>0</v>
      </c>
      <c r="M108" s="73">
        <f t="shared" si="26"/>
        <v>0</v>
      </c>
      <c r="N108" s="7" t="str">
        <f>IF(O108=""," ",VLOOKUP(O108,'[8]2012 личен състав ОТД'!$A:$AO,2,FALSE))</f>
        <v xml:space="preserve"> </v>
      </c>
      <c r="O108" s="3"/>
      <c r="P108" s="7" t="str">
        <f>IF(O108=""," ",VLOOKUP(O108,'[8]2012 личен състав ОТД'!$A:$AO,13,FALSE))</f>
        <v xml:space="preserve"> </v>
      </c>
      <c r="Q108" s="7" t="str">
        <f>IF(O108=""," ",VLOOKUP(O108,'[8]2012 личен състав ОТД'!$A:$AO,12,FALSE))</f>
        <v xml:space="preserve"> </v>
      </c>
      <c r="R108" s="7" t="str">
        <f>IF(A108=""," ",VLOOKUP(A108,'Профилиращ лист'!A:B,2,FALSE))</f>
        <v xml:space="preserve"> </v>
      </c>
    </row>
    <row r="109" spans="1:21" ht="15" hidden="1" customHeight="1" x14ac:dyDescent="0.25">
      <c r="A109" s="8"/>
      <c r="K109" s="73">
        <f t="shared" si="24"/>
        <v>0</v>
      </c>
      <c r="L109" s="73">
        <f t="shared" si="25"/>
        <v>0</v>
      </c>
      <c r="M109" s="73">
        <f t="shared" si="26"/>
        <v>0</v>
      </c>
      <c r="N109" s="7" t="str">
        <f>IF(O109=""," ",VLOOKUP(O109,'[8]2012 личен състав ОТД'!$A:$AO,2,FALSE))</f>
        <v xml:space="preserve"> </v>
      </c>
      <c r="O109" s="3"/>
      <c r="P109" s="7" t="str">
        <f>IF(O109=""," ",VLOOKUP(O109,'[8]2012 личен състав ОТД'!$A:$AO,13,FALSE))</f>
        <v xml:space="preserve"> </v>
      </c>
      <c r="Q109" s="7" t="str">
        <f>IF(O109=""," ",VLOOKUP(O109,'[8]2012 личен състав ОТД'!$A:$AO,12,FALSE))</f>
        <v xml:space="preserve"> </v>
      </c>
      <c r="R109" s="7" t="str">
        <f>IF(A109=""," ",VLOOKUP(A109,'Профилиращ лист'!A:B,2,FALSE))</f>
        <v xml:space="preserve"> </v>
      </c>
    </row>
  </sheetData>
  <autoFilter ref="A1:GG109">
    <filterColumn colId="9">
      <filters>
        <filter val="1"/>
        <filter val="изпит"/>
        <filter val="т.о."/>
        <filter val="Ф"/>
      </filters>
    </filterColumn>
    <filterColumn colId="11">
      <filters>
        <filter val="1"/>
        <filter val="15"/>
        <filter val="30"/>
        <filter val="45"/>
        <filter val="60"/>
        <filter val="75"/>
      </filters>
    </filterColumn>
  </autoFilter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92" fitToHeight="2" orientation="portrait" r:id="rId1"/>
  <headerFooter alignWithMargins="0">
    <oddHeader>&amp;LРедовно обучение,
бакалавърска степен&amp;C&amp;14УЧЕБЕН ПЛАН: &amp;A</oddHeader>
  </headerFooter>
  <rowBreaks count="1" manualBreakCount="1">
    <brk id="44" max="9" man="1"/>
  </rowBreaks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6" tint="-0.249977111117893"/>
  </sheetPr>
  <dimension ref="A1:AE109"/>
  <sheetViews>
    <sheetView zoomScale="70" zoomScaleNormal="70" workbookViewId="0">
      <pane xSplit="1" ySplit="2" topLeftCell="H6" activePane="bottomRight" state="frozen"/>
      <selection activeCell="T1" sqref="T1:T97"/>
      <selection pane="topRight" activeCell="T1" sqref="T1:T97"/>
      <selection pane="bottomLeft" activeCell="T1" sqref="T1:T97"/>
      <selection pane="bottomRight" activeCell="T1" sqref="T1:T97"/>
    </sheetView>
  </sheetViews>
  <sheetFormatPr defaultRowHeight="12.75" x14ac:dyDescent="0.2"/>
  <cols>
    <col min="1" max="1" width="53.5703125" style="17" customWidth="1"/>
    <col min="2" max="2" width="9.140625" style="17"/>
    <col min="3" max="10" width="0" style="17" hidden="1" customWidth="1"/>
    <col min="11" max="11" width="5.85546875" style="75" hidden="1" customWidth="1"/>
    <col min="12" max="13" width="5.85546875" style="76" hidden="1" customWidth="1"/>
    <col min="14" max="14" width="28.42578125" hidden="1" customWidth="1"/>
    <col min="15" max="15" width="18.85546875" hidden="1" customWidth="1"/>
    <col min="16" max="17" width="10.7109375" hidden="1" customWidth="1"/>
    <col min="18" max="18" width="7.5703125" customWidth="1"/>
    <col min="19" max="20" width="14" customWidth="1"/>
    <col min="21" max="21" width="11.85546875" customWidth="1"/>
    <col min="22" max="22" width="12.5703125" customWidth="1"/>
  </cols>
  <sheetData>
    <row r="1" spans="1:31" ht="15.75" thickTop="1" x14ac:dyDescent="0.2">
      <c r="A1" s="21" t="s">
        <v>0</v>
      </c>
      <c r="B1" s="22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4" t="s">
        <v>9</v>
      </c>
      <c r="K1" s="1" t="s">
        <v>446</v>
      </c>
      <c r="L1" s="1" t="s">
        <v>3</v>
      </c>
      <c r="M1" s="1" t="s">
        <v>447</v>
      </c>
      <c r="N1" s="1" t="s">
        <v>448</v>
      </c>
      <c r="O1" s="1" t="s">
        <v>451</v>
      </c>
      <c r="P1" s="1" t="s">
        <v>449</v>
      </c>
      <c r="Q1" s="1" t="s">
        <v>450</v>
      </c>
      <c r="R1" s="1" t="s">
        <v>251</v>
      </c>
      <c r="S1" s="108" t="s">
        <v>578</v>
      </c>
      <c r="T1" s="108" t="s">
        <v>629</v>
      </c>
      <c r="U1" s="112" t="s">
        <v>577</v>
      </c>
      <c r="V1" t="s">
        <v>255</v>
      </c>
      <c r="W1" t="s">
        <v>265</v>
      </c>
      <c r="X1" t="s">
        <v>253</v>
      </c>
      <c r="Y1" t="s">
        <v>263</v>
      </c>
      <c r="Z1" t="s">
        <v>272</v>
      </c>
      <c r="AA1" t="s">
        <v>406</v>
      </c>
      <c r="AB1" t="s">
        <v>573</v>
      </c>
      <c r="AC1" t="s">
        <v>607</v>
      </c>
      <c r="AD1" t="s">
        <v>575</v>
      </c>
      <c r="AE1" t="s">
        <v>576</v>
      </c>
    </row>
    <row r="2" spans="1:31" ht="15" x14ac:dyDescent="0.25">
      <c r="A2" s="25" t="s">
        <v>10</v>
      </c>
      <c r="B2" s="26"/>
      <c r="C2" s="27"/>
      <c r="D2" s="27"/>
      <c r="E2" s="27"/>
      <c r="F2" s="27"/>
      <c r="G2" s="27"/>
      <c r="H2" s="27"/>
      <c r="I2" s="28"/>
      <c r="J2" s="29">
        <v>1</v>
      </c>
      <c r="L2" s="76">
        <v>1</v>
      </c>
      <c r="O2" s="3">
        <f ca="1">YEAR(TODAY())</f>
        <v>2013</v>
      </c>
      <c r="P2" s="3">
        <f ca="1">O2-(AVERAGEIFS(P:P,L:L,"&gt;0",Q:Q,"ОТД"))</f>
        <v>51.066666666666606</v>
      </c>
      <c r="T2">
        <f ca="1">YEAR(TODAY())</f>
        <v>2013</v>
      </c>
      <c r="V2">
        <f ca="1">COUNTIFS(P:P,"&gt;1900",R:R,"СПЕ")</f>
        <v>15</v>
      </c>
      <c r="W2">
        <f ca="1">COUNTIFS(P:P,"&gt;1900",R:R,"ОФД")</f>
        <v>10</v>
      </c>
      <c r="X2">
        <f ca="1">COUNTIFS(P:P,"&gt;1900",R:R,"ПЕД")</f>
        <v>4</v>
      </c>
      <c r="Y2">
        <f>COUNTIF(R:R,"ПРА")</f>
        <v>0</v>
      </c>
      <c r="Z2">
        <f>COUNTIF(R:R,"ИЗБ")</f>
        <v>4</v>
      </c>
      <c r="AA2">
        <f>COUNTIF(R:R,"ФД")</f>
        <v>4</v>
      </c>
      <c r="AB2">
        <f ca="1">SUBTOTAL(9,V2:AA2)</f>
        <v>37</v>
      </c>
      <c r="AC2">
        <f ca="1">V2/AB2</f>
        <v>0.40540540540540543</v>
      </c>
      <c r="AD2">
        <f>(COUNTIFS(N:N,"проф.*",Q:Q,"ОТД")+COUNTIFS(N:N,"доц.*",Q:Q,"ОТД"))/COUNTIF(Q:Q,"ОТД")</f>
        <v>0.78787878787878785</v>
      </c>
      <c r="AE2">
        <f ca="1">COUNTIF(S:S,"У")/V2</f>
        <v>0</v>
      </c>
    </row>
    <row r="3" spans="1:31" ht="15" x14ac:dyDescent="0.2">
      <c r="A3" s="30" t="s">
        <v>11</v>
      </c>
      <c r="B3" s="31">
        <v>30</v>
      </c>
      <c r="C3" s="27">
        <v>30</v>
      </c>
      <c r="D3" s="27">
        <v>30</v>
      </c>
      <c r="E3" s="27">
        <v>0</v>
      </c>
      <c r="F3" s="27">
        <f>C3-D3-E3</f>
        <v>0</v>
      </c>
      <c r="G3" s="27">
        <f t="shared" ref="G3:G10" si="0">H3-C3</f>
        <v>60</v>
      </c>
      <c r="H3" s="27">
        <f t="shared" ref="H3:H10" si="1">I3*30</f>
        <v>90</v>
      </c>
      <c r="I3" s="27">
        <v>3</v>
      </c>
      <c r="J3" s="29" t="s">
        <v>12</v>
      </c>
      <c r="K3" s="75">
        <f>SUMIF(A:A,A3,C:C)</f>
        <v>30</v>
      </c>
      <c r="L3" s="76">
        <f>SUMIF(A:A,A3,D:D)</f>
        <v>30</v>
      </c>
      <c r="M3" s="76">
        <f>SUMIF(A:A,A3,E:E)+SUMIF(A:A,A3,F:F)</f>
        <v>0</v>
      </c>
      <c r="N3" t="str">
        <f>IF(O3=""," ",VLOOKUP(O3,'[8]2012 личен състав ОТД'!$A:$AO,2,FALSE))</f>
        <v>доц. д-р Красимира Кръстанова</v>
      </c>
      <c r="O3" t="str">
        <f>IF(A3=""," ",VLOOKUP(A3,'Български и испански език'!A:O,15,FALSE))</f>
        <v>кръстанова</v>
      </c>
      <c r="P3">
        <f>IF(O3=""," ",VLOOKUP(O3,'[8]2012 личен състав ОТД'!$A:$AO,13,FALSE))</f>
        <v>1958</v>
      </c>
      <c r="Q3" t="str">
        <f>IF(O3=""," ",VLOOKUP(O3,'[8]2012 личен състав ОТД'!$A:$AO,12,FALSE))</f>
        <v>ОТД</v>
      </c>
      <c r="R3" t="str">
        <f>IF(A3=""," ",VLOOKUP(A3,'Профилиращ лист'!A:B,2,FALSE))</f>
        <v>СПЕ</v>
      </c>
      <c r="T3">
        <f t="shared" ref="T3:T34" ca="1" si="2">Години-P3</f>
        <v>55</v>
      </c>
    </row>
    <row r="4" spans="1:31" ht="15" hidden="1" x14ac:dyDescent="0.2">
      <c r="A4" s="30" t="s">
        <v>13</v>
      </c>
      <c r="B4" s="31">
        <v>45</v>
      </c>
      <c r="C4" s="27">
        <v>45</v>
      </c>
      <c r="D4" s="27">
        <v>15</v>
      </c>
      <c r="E4" s="27">
        <v>30</v>
      </c>
      <c r="F4" s="27">
        <f>C4-D4-E4</f>
        <v>0</v>
      </c>
      <c r="G4" s="27">
        <f t="shared" si="0"/>
        <v>75</v>
      </c>
      <c r="H4" s="27">
        <f t="shared" si="1"/>
        <v>120</v>
      </c>
      <c r="I4" s="27">
        <v>4</v>
      </c>
      <c r="J4" s="32" t="s">
        <v>14</v>
      </c>
      <c r="K4" s="75">
        <f t="shared" ref="K4:K67" si="3">SUMIF(A:A,A4,C:C)</f>
        <v>90</v>
      </c>
      <c r="L4" s="76">
        <f t="shared" ref="L4:L67" si="4">SUMIF(A:A,A4,D:D)</f>
        <v>30</v>
      </c>
      <c r="M4" s="76">
        <f t="shared" ref="M4:M67" si="5">SUMIF(A:A,A4,E:E)+SUMIF(A:A,A4,F:F)</f>
        <v>60</v>
      </c>
      <c r="N4" t="str">
        <f>IF(O4=""," ",VLOOKUP(O4,'[8]2012 личен състав ОТД'!$A:$AO,2,FALSE))</f>
        <v xml:space="preserve">   </v>
      </c>
      <c r="O4">
        <f>IF(A4=""," ",VLOOKUP(A4,'Български и испански език'!A:O,15,FALSE))</f>
        <v>0</v>
      </c>
      <c r="P4">
        <f>IF(O4=""," ",VLOOKUP(O4,'[8]2012 личен състав ОТД'!$A:$AO,13,FALSE))</f>
        <v>0</v>
      </c>
      <c r="Q4">
        <f>IF(O4=""," ",VLOOKUP(O4,'[8]2012 личен състав ОТД'!$A:$AO,12,FALSE))</f>
        <v>0</v>
      </c>
      <c r="R4" t="str">
        <f>IF(A4=""," ",VLOOKUP(A4,'Профилиращ лист'!A:B,2,FALSE))</f>
        <v>ОФД</v>
      </c>
      <c r="T4">
        <f t="shared" ca="1" si="2"/>
        <v>2013</v>
      </c>
      <c r="V4">
        <f>COUNTIF(N:N,"проф.*")</f>
        <v>5</v>
      </c>
      <c r="W4">
        <f>COUNTIF(N:N,"доц.*")</f>
        <v>21</v>
      </c>
      <c r="X4">
        <f>COUNTIF(N:N,"*ас. д-р*")</f>
        <v>15</v>
      </c>
      <c r="Y4">
        <f>COUNTIF(N:N,"гл. ас.*")-X4</f>
        <v>1</v>
      </c>
      <c r="Z4">
        <f>COUNTIF(N:N,"ас.*")</f>
        <v>1</v>
      </c>
      <c r="AA4">
        <f>SUM(V4:Z4)</f>
        <v>43</v>
      </c>
    </row>
    <row r="5" spans="1:31" ht="15" hidden="1" x14ac:dyDescent="0.2">
      <c r="A5" s="30" t="s">
        <v>228</v>
      </c>
      <c r="B5" s="31">
        <v>90</v>
      </c>
      <c r="C5" s="27">
        <v>90</v>
      </c>
      <c r="D5" s="27">
        <v>0</v>
      </c>
      <c r="E5" s="27">
        <v>0</v>
      </c>
      <c r="F5" s="27">
        <f>C5-D5-E5</f>
        <v>90</v>
      </c>
      <c r="G5" s="27">
        <f t="shared" si="0"/>
        <v>120</v>
      </c>
      <c r="H5" s="27">
        <f t="shared" si="1"/>
        <v>210</v>
      </c>
      <c r="I5" s="27">
        <v>7</v>
      </c>
      <c r="J5" s="32" t="s">
        <v>14</v>
      </c>
      <c r="K5" s="75">
        <f t="shared" si="3"/>
        <v>630</v>
      </c>
      <c r="L5" s="76">
        <f t="shared" si="4"/>
        <v>0</v>
      </c>
      <c r="M5" s="76">
        <f t="shared" si="5"/>
        <v>630</v>
      </c>
      <c r="N5" t="e">
        <f>IF(O5=""," ",VLOOKUP(O5,'[8]2012 личен състав ОТД'!$A:$AO,2,FALSE))</f>
        <v>#N/A</v>
      </c>
      <c r="O5" t="e">
        <f>IF(A5=""," ",VLOOKUP(A5,'Български и испански език'!A:O,15,FALSE))</f>
        <v>#N/A</v>
      </c>
      <c r="P5" t="e">
        <f>IF(O5=""," ",VLOOKUP(O5,'[8]2012 личен състав ОТД'!$A:$AO,13,FALSE))</f>
        <v>#N/A</v>
      </c>
      <c r="Q5" t="e">
        <f>IF(O5=""," ",VLOOKUP(O5,'[8]2012 личен състав ОТД'!$A:$AO,12,FALSE))</f>
        <v>#N/A</v>
      </c>
      <c r="R5" t="e">
        <f>IF(A5=""," ",VLOOKUP(A5,'Профилиращ лист'!A:B,2,FALSE))</f>
        <v>#N/A</v>
      </c>
      <c r="T5" t="e">
        <f t="shared" ca="1" si="2"/>
        <v>#N/A</v>
      </c>
    </row>
    <row r="6" spans="1:31" ht="15" x14ac:dyDescent="0.2">
      <c r="A6" s="30" t="s">
        <v>229</v>
      </c>
      <c r="B6" s="31">
        <v>30</v>
      </c>
      <c r="C6" s="27">
        <v>30</v>
      </c>
      <c r="D6" s="27">
        <v>15</v>
      </c>
      <c r="E6" s="27">
        <v>15</v>
      </c>
      <c r="F6" s="27">
        <f>C6-D6-E6</f>
        <v>0</v>
      </c>
      <c r="G6" s="27">
        <f t="shared" si="0"/>
        <v>60</v>
      </c>
      <c r="H6" s="27">
        <f t="shared" si="1"/>
        <v>90</v>
      </c>
      <c r="I6" s="27">
        <v>3</v>
      </c>
      <c r="J6" s="29" t="s">
        <v>12</v>
      </c>
      <c r="K6" s="75">
        <f t="shared" si="3"/>
        <v>30</v>
      </c>
      <c r="L6" s="76">
        <f t="shared" si="4"/>
        <v>15</v>
      </c>
      <c r="M6" s="76">
        <f t="shared" si="5"/>
        <v>15</v>
      </c>
      <c r="N6" t="str">
        <f>IF(O6=""," ",VLOOKUP(O6,'[8]2012 личен състав ОТД'!$A:$AO,2,FALSE))</f>
        <v>гл. ас. д-р Наталия Христова</v>
      </c>
      <c r="O6" t="s">
        <v>525</v>
      </c>
      <c r="P6">
        <f>IF(O6=""," ",VLOOKUP(O6,'[8]2012 личен състав ОТД'!$A:$AO,13,FALSE))</f>
        <v>1975</v>
      </c>
      <c r="Q6" t="str">
        <f>IF(O6=""," ",VLOOKUP(O6,'[8]2012 личен състав ОТД'!$A:$AO,12,FALSE))</f>
        <v>ОТД</v>
      </c>
      <c r="R6" t="str">
        <f>IF(A6=""," ",VLOOKUP(A6,'Профилиращ лист'!A:B,2,FALSE))</f>
        <v>СПЕ</v>
      </c>
      <c r="T6">
        <f t="shared" ca="1" si="2"/>
        <v>38</v>
      </c>
    </row>
    <row r="7" spans="1:31" ht="15" hidden="1" x14ac:dyDescent="0.2">
      <c r="A7" s="30" t="s">
        <v>17</v>
      </c>
      <c r="B7" s="31">
        <v>15</v>
      </c>
      <c r="C7" s="27">
        <v>30</v>
      </c>
      <c r="D7" s="27">
        <v>0</v>
      </c>
      <c r="E7" s="27">
        <v>30</v>
      </c>
      <c r="F7" s="27">
        <v>0</v>
      </c>
      <c r="G7" s="27">
        <f t="shared" si="0"/>
        <v>60</v>
      </c>
      <c r="H7" s="27">
        <f t="shared" si="1"/>
        <v>90</v>
      </c>
      <c r="I7" s="27">
        <v>3</v>
      </c>
      <c r="J7" s="29" t="s">
        <v>18</v>
      </c>
      <c r="K7" s="75">
        <f t="shared" si="3"/>
        <v>30</v>
      </c>
      <c r="L7" s="76">
        <f t="shared" si="4"/>
        <v>0</v>
      </c>
      <c r="M7" s="76">
        <f t="shared" si="5"/>
        <v>30</v>
      </c>
      <c r="N7" t="e">
        <f>IF(O7=""," ",VLOOKUP(O7,'[8]2012 личен състав ОТД'!$A:$AO,2,FALSE))</f>
        <v>#N/A</v>
      </c>
      <c r="O7" t="e">
        <f>IF(A7=""," ",VLOOKUP(A7,'Български и испански език'!A:O,15,FALSE))</f>
        <v>#N/A</v>
      </c>
      <c r="P7" t="e">
        <f>IF(O7=""," ",VLOOKUP(O7,'[8]2012 личен състав ОТД'!$A:$AO,13,FALSE))</f>
        <v>#N/A</v>
      </c>
      <c r="Q7" t="e">
        <f>IF(O7=""," ",VLOOKUP(O7,'[8]2012 личен състав ОТД'!$A:$AO,12,FALSE))</f>
        <v>#N/A</v>
      </c>
      <c r="R7" t="str">
        <f>IF(A7=""," ",VLOOKUP(A7,'Профилиращ лист'!A:B,2,FALSE))</f>
        <v>ИЗБ</v>
      </c>
      <c r="T7" t="e">
        <f t="shared" ca="1" si="2"/>
        <v>#N/A</v>
      </c>
    </row>
    <row r="8" spans="1:31" ht="15" x14ac:dyDescent="0.2">
      <c r="A8" s="30" t="s">
        <v>19</v>
      </c>
      <c r="B8" s="31">
        <v>45</v>
      </c>
      <c r="C8" s="27">
        <v>60</v>
      </c>
      <c r="D8" s="27">
        <v>45</v>
      </c>
      <c r="E8" s="27">
        <v>15</v>
      </c>
      <c r="F8" s="27">
        <f>C8-D8-E8</f>
        <v>0</v>
      </c>
      <c r="G8" s="27">
        <f t="shared" si="0"/>
        <v>60</v>
      </c>
      <c r="H8" s="27">
        <f t="shared" si="1"/>
        <v>120</v>
      </c>
      <c r="I8" s="27">
        <v>4</v>
      </c>
      <c r="J8" s="29" t="s">
        <v>12</v>
      </c>
      <c r="K8" s="75">
        <f t="shared" si="3"/>
        <v>60</v>
      </c>
      <c r="L8" s="76">
        <f t="shared" si="4"/>
        <v>45</v>
      </c>
      <c r="M8" s="76">
        <f t="shared" si="5"/>
        <v>15</v>
      </c>
      <c r="N8" t="str">
        <f>IF(O8=""," ",VLOOKUP(O8,'[8]2012 личен състав ОТД'!$A:$AO,2,FALSE))</f>
        <v>доц. д-р Атанас Бучков</v>
      </c>
      <c r="O8" t="str">
        <f>IF(A8=""," ",VLOOKUP(A8,'Български и испански език'!A:O,15,FALSE))</f>
        <v>бучков</v>
      </c>
      <c r="P8">
        <f>IF(O8=""," ",VLOOKUP(O8,'[8]2012 личен състав ОТД'!$A:$AO,13,FALSE))</f>
        <v>1949</v>
      </c>
      <c r="Q8" t="str">
        <f>IF(O8=""," ",VLOOKUP(O8,'[8]2012 личен състав ОТД'!$A:$AO,12,FALSE))</f>
        <v>ОТД</v>
      </c>
      <c r="R8" t="str">
        <f>IF(A8=""," ",VLOOKUP(A8,'Профилиращ лист'!A:B,2,FALSE))</f>
        <v>ОФД</v>
      </c>
      <c r="T8">
        <f t="shared" ca="1" si="2"/>
        <v>64</v>
      </c>
    </row>
    <row r="9" spans="1:31" ht="15" x14ac:dyDescent="0.2">
      <c r="A9" s="30" t="s">
        <v>20</v>
      </c>
      <c r="B9" s="31">
        <v>45</v>
      </c>
      <c r="C9" s="27">
        <v>60</v>
      </c>
      <c r="D9" s="27">
        <v>45</v>
      </c>
      <c r="E9" s="27">
        <v>15</v>
      </c>
      <c r="F9" s="27">
        <f>C9-D9-E9</f>
        <v>0</v>
      </c>
      <c r="G9" s="27">
        <f t="shared" si="0"/>
        <v>60</v>
      </c>
      <c r="H9" s="27">
        <f t="shared" si="1"/>
        <v>120</v>
      </c>
      <c r="I9" s="27">
        <v>4</v>
      </c>
      <c r="J9" s="29" t="s">
        <v>12</v>
      </c>
      <c r="K9" s="75">
        <f t="shared" si="3"/>
        <v>60</v>
      </c>
      <c r="L9" s="76">
        <f t="shared" si="4"/>
        <v>45</v>
      </c>
      <c r="M9" s="76">
        <f t="shared" si="5"/>
        <v>15</v>
      </c>
      <c r="N9" t="str">
        <f>IF(O9=""," ",VLOOKUP(O9,'[8]2012 личен състав ОТД'!$A:$AO,2,FALSE))</f>
        <v>доц. д-р Иван Чобанов</v>
      </c>
      <c r="O9" t="str">
        <f>IF(A9=""," ",VLOOKUP(A9,'Български и испански език'!A:O,15,FALSE))</f>
        <v>чобанов</v>
      </c>
      <c r="P9">
        <f>IF(O9=""," ",VLOOKUP(O9,'[8]2012 личен състав ОТД'!$A:$AO,13,FALSE))</f>
        <v>1949</v>
      </c>
      <c r="Q9" t="str">
        <f>IF(O9=""," ",VLOOKUP(O9,'[8]2012 личен състав ОТД'!$A:$AO,12,FALSE))</f>
        <v>ОТД</v>
      </c>
      <c r="R9" t="str">
        <f>IF(A9=""," ",VLOOKUP(A9,'Профилиращ лист'!A:B,2,FALSE))</f>
        <v>ОФД</v>
      </c>
      <c r="T9">
        <f t="shared" ca="1" si="2"/>
        <v>64</v>
      </c>
    </row>
    <row r="10" spans="1:31" ht="15" hidden="1" x14ac:dyDescent="0.2">
      <c r="A10" s="83" t="s">
        <v>21</v>
      </c>
      <c r="B10" s="31">
        <v>15</v>
      </c>
      <c r="C10" s="27">
        <v>30</v>
      </c>
      <c r="D10" s="27">
        <v>0</v>
      </c>
      <c r="E10" s="27">
        <v>0</v>
      </c>
      <c r="F10" s="27">
        <f>C10-D10-E10</f>
        <v>30</v>
      </c>
      <c r="G10" s="27">
        <f t="shared" si="0"/>
        <v>30</v>
      </c>
      <c r="H10" s="27">
        <f t="shared" si="1"/>
        <v>60</v>
      </c>
      <c r="I10" s="27">
        <v>2</v>
      </c>
      <c r="J10" s="29" t="s">
        <v>18</v>
      </c>
      <c r="K10" s="75">
        <f t="shared" si="3"/>
        <v>30</v>
      </c>
      <c r="L10" s="76">
        <f t="shared" si="4"/>
        <v>0</v>
      </c>
      <c r="M10" s="76">
        <f t="shared" si="5"/>
        <v>30</v>
      </c>
      <c r="N10" t="str">
        <f>IF(O10=""," ",VLOOKUP(O10,'[8]2012 личен състав ОТД'!$A:$AO,2,FALSE))</f>
        <v>доц. д-р Христина Тончева</v>
      </c>
      <c r="O10" t="s">
        <v>461</v>
      </c>
      <c r="P10">
        <f>IF(O10=""," ",VLOOKUP(O10,'[8]2012 личен състав ОТД'!$A:$AO,13,FALSE))</f>
        <v>1968</v>
      </c>
      <c r="Q10" t="str">
        <f>IF(O10=""," ",VLOOKUP(O10,'[8]2012 личен състав ОТД'!$A:$AO,12,FALSE))</f>
        <v>ОТД</v>
      </c>
      <c r="R10" t="str">
        <f>IF(A10=""," ",VLOOKUP(A10,'Профилиращ лист'!A:B,2,FALSE))</f>
        <v>ФД</v>
      </c>
      <c r="T10">
        <f t="shared" ca="1" si="2"/>
        <v>45</v>
      </c>
    </row>
    <row r="11" spans="1:31" ht="15" hidden="1" x14ac:dyDescent="0.2">
      <c r="A11" s="30"/>
      <c r="B11" s="33">
        <f t="shared" ref="B11:I11" si="6">SUM(B3:B10)</f>
        <v>315</v>
      </c>
      <c r="C11" s="33">
        <f t="shared" si="6"/>
        <v>375</v>
      </c>
      <c r="D11" s="33">
        <f t="shared" si="6"/>
        <v>150</v>
      </c>
      <c r="E11" s="33">
        <f t="shared" si="6"/>
        <v>105</v>
      </c>
      <c r="F11" s="33">
        <f t="shared" si="6"/>
        <v>120</v>
      </c>
      <c r="G11" s="33">
        <f t="shared" si="6"/>
        <v>525</v>
      </c>
      <c r="H11" s="33">
        <f t="shared" si="6"/>
        <v>900</v>
      </c>
      <c r="I11" s="33">
        <f t="shared" si="6"/>
        <v>30</v>
      </c>
      <c r="J11" s="29"/>
      <c r="K11" s="75">
        <f t="shared" si="3"/>
        <v>0</v>
      </c>
      <c r="L11" s="76">
        <f t="shared" si="4"/>
        <v>0</v>
      </c>
      <c r="M11" s="76">
        <f t="shared" si="5"/>
        <v>0</v>
      </c>
      <c r="N11" t="e">
        <f>IF(O11=""," ",VLOOKUP(O11,'[8]2012 личен състав ОТД'!$A:$AO,2,FALSE))</f>
        <v>#N/A</v>
      </c>
      <c r="O11" t="str">
        <f>IF(A11=""," ",VLOOKUP(A11,'Български и испански език'!A:O,15,FALSE))</f>
        <v xml:space="preserve"> </v>
      </c>
      <c r="P11" t="e">
        <f>IF(O11=""," ",VLOOKUP(O11,'[8]2012 личен състав ОТД'!$A:$AO,13,FALSE))</f>
        <v>#N/A</v>
      </c>
      <c r="Q11" t="e">
        <f>IF(O11=""," ",VLOOKUP(O11,'[8]2012 личен състав ОТД'!$A:$AO,12,FALSE))</f>
        <v>#N/A</v>
      </c>
      <c r="R11" t="str">
        <f>IF(A11=""," ",VLOOKUP(A11,'Профилиращ лист'!A:B,2,FALSE))</f>
        <v xml:space="preserve"> </v>
      </c>
      <c r="T11" t="e">
        <f t="shared" ca="1" si="2"/>
        <v>#N/A</v>
      </c>
    </row>
    <row r="12" spans="1:31" ht="15" hidden="1" x14ac:dyDescent="0.2">
      <c r="A12" s="25" t="s">
        <v>22</v>
      </c>
      <c r="B12" s="26"/>
      <c r="C12" s="27"/>
      <c r="D12" s="27"/>
      <c r="E12" s="27"/>
      <c r="F12" s="27"/>
      <c r="G12" s="27"/>
      <c r="H12" s="27"/>
      <c r="I12" s="28"/>
      <c r="J12" s="29"/>
      <c r="K12" s="75">
        <f t="shared" si="3"/>
        <v>0</v>
      </c>
      <c r="L12" s="76">
        <f t="shared" si="4"/>
        <v>0</v>
      </c>
      <c r="M12" s="76">
        <f t="shared" si="5"/>
        <v>0</v>
      </c>
      <c r="N12" t="str">
        <f>IF(O12=""," ",VLOOKUP(O12,'[8]2012 личен състав ОТД'!$A:$AO,2,FALSE))</f>
        <v xml:space="preserve">   </v>
      </c>
      <c r="O12">
        <f>IF(A12=""," ",VLOOKUP(A12,'Български и испански език'!A:O,15,FALSE))</f>
        <v>0</v>
      </c>
      <c r="P12">
        <f>IF(O12=""," ",VLOOKUP(O12,'[8]2012 личен състав ОТД'!$A:$AO,13,FALSE))</f>
        <v>0</v>
      </c>
      <c r="Q12">
        <f>IF(O12=""," ",VLOOKUP(O12,'[8]2012 личен състав ОТД'!$A:$AO,12,FALSE))</f>
        <v>0</v>
      </c>
      <c r="R12" t="e">
        <f>IF(A12=""," ",VLOOKUP(A12,'Профилиращ лист'!A:B,2,FALSE))</f>
        <v>#N/A</v>
      </c>
      <c r="T12">
        <f t="shared" ca="1" si="2"/>
        <v>2013</v>
      </c>
    </row>
    <row r="13" spans="1:31" ht="15" x14ac:dyDescent="0.2">
      <c r="A13" s="30" t="s">
        <v>23</v>
      </c>
      <c r="B13" s="31">
        <v>45</v>
      </c>
      <c r="C13" s="27">
        <v>60</v>
      </c>
      <c r="D13" s="27">
        <v>60</v>
      </c>
      <c r="E13" s="27">
        <v>0</v>
      </c>
      <c r="F13" s="27">
        <f t="shared" ref="F13:F21" si="7">C13-D13-E13</f>
        <v>0</v>
      </c>
      <c r="G13" s="27">
        <f t="shared" ref="G13:G20" si="8">H13-C13</f>
        <v>90</v>
      </c>
      <c r="H13" s="27">
        <f t="shared" ref="H13:H21" si="9">I13*30</f>
        <v>150</v>
      </c>
      <c r="I13" s="27">
        <v>5</v>
      </c>
      <c r="J13" s="29" t="s">
        <v>12</v>
      </c>
      <c r="K13" s="75">
        <f t="shared" si="3"/>
        <v>60</v>
      </c>
      <c r="L13" s="76">
        <f t="shared" si="4"/>
        <v>60</v>
      </c>
      <c r="M13" s="76">
        <f t="shared" si="5"/>
        <v>0</v>
      </c>
      <c r="N13" t="str">
        <f>IF(O13=""," ",VLOOKUP(O13,'[8]2012 личен състав ОТД'!$A:$AO,2,FALSE))</f>
        <v>доц. д-р Мария Йовчева</v>
      </c>
      <c r="O13" t="str">
        <f>IF(A13=""," ",VLOOKUP(A13,'Български и испански език'!A:O,15,FALSE))</f>
        <v>йовчева</v>
      </c>
      <c r="P13">
        <f>IF(O13=""," ",VLOOKUP(O13,'[8]2012 личен състав ОТД'!$A:$AO,13,FALSE))</f>
        <v>1959</v>
      </c>
      <c r="Q13" t="str">
        <f>IF(O13=""," ",VLOOKUP(O13,'[8]2012 личен състав ОТД'!$A:$AO,12,FALSE))</f>
        <v>ОТД</v>
      </c>
      <c r="R13" t="str">
        <f>IF(A13=""," ",VLOOKUP(A13,'Профилиращ лист'!A:B,2,FALSE))</f>
        <v>СПЕ</v>
      </c>
      <c r="T13">
        <f t="shared" ca="1" si="2"/>
        <v>54</v>
      </c>
    </row>
    <row r="14" spans="1:31" ht="15" x14ac:dyDescent="0.2">
      <c r="A14" s="30" t="s">
        <v>13</v>
      </c>
      <c r="B14" s="31">
        <v>30</v>
      </c>
      <c r="C14" s="27">
        <v>45</v>
      </c>
      <c r="D14" s="27">
        <v>15</v>
      </c>
      <c r="E14" s="27">
        <v>30</v>
      </c>
      <c r="F14" s="27">
        <f t="shared" si="7"/>
        <v>0</v>
      </c>
      <c r="G14" s="27">
        <f t="shared" si="8"/>
        <v>75</v>
      </c>
      <c r="H14" s="27">
        <f t="shared" si="9"/>
        <v>120</v>
      </c>
      <c r="I14" s="27">
        <v>4</v>
      </c>
      <c r="J14" s="29" t="s">
        <v>12</v>
      </c>
      <c r="K14" s="75">
        <f t="shared" si="3"/>
        <v>90</v>
      </c>
      <c r="L14" s="76">
        <f t="shared" si="4"/>
        <v>30</v>
      </c>
      <c r="M14" s="76">
        <f t="shared" si="5"/>
        <v>60</v>
      </c>
      <c r="N14" t="str">
        <f>IF(O14=""," ",VLOOKUP(O14,'[8]2012 личен състав ОТД'!$A:$AO,2,FALSE))</f>
        <v>доц. д-р Христина Тончева</v>
      </c>
      <c r="O14" t="s">
        <v>461</v>
      </c>
      <c r="P14">
        <f>IF(O14=""," ",VLOOKUP(O14,'[8]2012 личен състав ОТД'!$A:$AO,13,FALSE))</f>
        <v>1968</v>
      </c>
      <c r="Q14" t="str">
        <f>IF(O14=""," ",VLOOKUP(O14,'[8]2012 личен състав ОТД'!$A:$AO,12,FALSE))</f>
        <v>ОТД</v>
      </c>
      <c r="R14" t="str">
        <f>IF(A14=""," ",VLOOKUP(A14,'Профилиращ лист'!A:B,2,FALSE))</f>
        <v>ОФД</v>
      </c>
      <c r="T14">
        <f t="shared" ca="1" si="2"/>
        <v>45</v>
      </c>
    </row>
    <row r="15" spans="1:31" ht="15" hidden="1" x14ac:dyDescent="0.2">
      <c r="A15" s="30" t="s">
        <v>24</v>
      </c>
      <c r="B15" s="31">
        <v>30</v>
      </c>
      <c r="C15" s="27">
        <v>30</v>
      </c>
      <c r="D15" s="27">
        <v>0</v>
      </c>
      <c r="E15" s="27">
        <v>0</v>
      </c>
      <c r="F15" s="27">
        <f t="shared" si="7"/>
        <v>30</v>
      </c>
      <c r="G15" s="27">
        <f t="shared" si="8"/>
        <v>60</v>
      </c>
      <c r="H15" s="27">
        <f t="shared" si="9"/>
        <v>90</v>
      </c>
      <c r="I15" s="27">
        <v>3</v>
      </c>
      <c r="J15" s="32" t="s">
        <v>14</v>
      </c>
      <c r="K15" s="75">
        <f t="shared" si="3"/>
        <v>60</v>
      </c>
      <c r="L15" s="76">
        <f t="shared" si="4"/>
        <v>0</v>
      </c>
      <c r="M15" s="76">
        <f t="shared" si="5"/>
        <v>60</v>
      </c>
      <c r="N15" t="str">
        <f>IF(O15=""," ",VLOOKUP(O15,'[8]2012 личен състав ОТД'!$A:$AO,2,FALSE))</f>
        <v>доц. д-р Станка Козарова</v>
      </c>
      <c r="O15" t="str">
        <f>IF(A15=""," ",VLOOKUP(A15,'Български и испански език'!A:O,15,FALSE))</f>
        <v>козарова</v>
      </c>
      <c r="P15">
        <f>IF(O15=""," ",VLOOKUP(O15,'[8]2012 личен състав ОТД'!$A:$AO,13,FALSE))</f>
        <v>1959</v>
      </c>
      <c r="Q15" t="str">
        <f>IF(O15=""," ",VLOOKUP(O15,'[8]2012 личен състав ОТД'!$A:$AO,12,FALSE))</f>
        <v>ОТД</v>
      </c>
      <c r="R15" t="str">
        <f>IF(A15=""," ",VLOOKUP(A15,'Профилиращ лист'!A:B,2,FALSE))</f>
        <v>ОФД</v>
      </c>
      <c r="T15">
        <f t="shared" ca="1" si="2"/>
        <v>54</v>
      </c>
    </row>
    <row r="16" spans="1:31" ht="15" hidden="1" x14ac:dyDescent="0.2">
      <c r="A16" s="30" t="s">
        <v>228</v>
      </c>
      <c r="B16" s="31">
        <v>90</v>
      </c>
      <c r="C16" s="27">
        <v>105</v>
      </c>
      <c r="D16" s="27">
        <v>0</v>
      </c>
      <c r="E16" s="27">
        <v>0</v>
      </c>
      <c r="F16" s="27">
        <f t="shared" si="7"/>
        <v>105</v>
      </c>
      <c r="G16" s="27">
        <f t="shared" si="8"/>
        <v>105</v>
      </c>
      <c r="H16" s="27">
        <f t="shared" si="9"/>
        <v>210</v>
      </c>
      <c r="I16" s="27">
        <v>7</v>
      </c>
      <c r="J16" s="29" t="s">
        <v>12</v>
      </c>
      <c r="K16" s="75">
        <f t="shared" si="3"/>
        <v>630</v>
      </c>
      <c r="L16" s="76">
        <f t="shared" si="4"/>
        <v>0</v>
      </c>
      <c r="M16" s="76">
        <f t="shared" si="5"/>
        <v>630</v>
      </c>
      <c r="N16" t="e">
        <f>IF(O16=""," ",VLOOKUP(O16,'[8]2012 личен състав ОТД'!$A:$AO,2,FALSE))</f>
        <v>#N/A</v>
      </c>
      <c r="O16" t="e">
        <f>IF(A16=""," ",VLOOKUP(A16,'Български и испански език'!A:O,15,FALSE))</f>
        <v>#N/A</v>
      </c>
      <c r="P16" t="e">
        <f>IF(O16=""," ",VLOOKUP(O16,'[8]2012 личен състав ОТД'!$A:$AO,13,FALSE))</f>
        <v>#N/A</v>
      </c>
      <c r="Q16" t="e">
        <f>IF(O16=""," ",VLOOKUP(O16,'[8]2012 личен състав ОТД'!$A:$AO,12,FALSE))</f>
        <v>#N/A</v>
      </c>
      <c r="R16" t="e">
        <f>IF(A16=""," ",VLOOKUP(A16,'Профилиращ лист'!A:B,2,FALSE))</f>
        <v>#N/A</v>
      </c>
      <c r="T16" t="e">
        <f t="shared" ca="1" si="2"/>
        <v>#N/A</v>
      </c>
    </row>
    <row r="17" spans="1:20" ht="15" x14ac:dyDescent="0.2">
      <c r="A17" s="30" t="s">
        <v>230</v>
      </c>
      <c r="B17" s="31">
        <v>30</v>
      </c>
      <c r="C17" s="27">
        <v>45</v>
      </c>
      <c r="D17" s="27">
        <v>30</v>
      </c>
      <c r="E17" s="27">
        <v>15</v>
      </c>
      <c r="F17" s="27">
        <f t="shared" si="7"/>
        <v>0</v>
      </c>
      <c r="G17" s="27">
        <f t="shared" si="8"/>
        <v>75</v>
      </c>
      <c r="H17" s="27">
        <f t="shared" si="9"/>
        <v>120</v>
      </c>
      <c r="I17" s="27">
        <v>4</v>
      </c>
      <c r="J17" s="29" t="s">
        <v>12</v>
      </c>
      <c r="K17" s="75">
        <f t="shared" si="3"/>
        <v>45</v>
      </c>
      <c r="L17" s="76">
        <f t="shared" si="4"/>
        <v>30</v>
      </c>
      <c r="M17" s="76">
        <f t="shared" si="5"/>
        <v>15</v>
      </c>
      <c r="N17" t="str">
        <f>IF(O17=""," ",VLOOKUP(O17,'[8]2012 личен състав ОТД'!$A:$AO,2,FALSE))</f>
        <v>гл. ас. д-р Наталия Христова</v>
      </c>
      <c r="O17" t="s">
        <v>525</v>
      </c>
      <c r="P17">
        <f>IF(O17=""," ",VLOOKUP(O17,'[8]2012 личен състав ОТД'!$A:$AO,13,FALSE))</f>
        <v>1975</v>
      </c>
      <c r="Q17" t="str">
        <f>IF(O17=""," ",VLOOKUP(O17,'[8]2012 личен състав ОТД'!$A:$AO,12,FALSE))</f>
        <v>ОТД</v>
      </c>
      <c r="R17" t="str">
        <f>IF(A17=""," ",VLOOKUP(A17,'Профилиращ лист'!A:B,2,FALSE))</f>
        <v>СПЕ</v>
      </c>
      <c r="T17">
        <f t="shared" ca="1" si="2"/>
        <v>38</v>
      </c>
    </row>
    <row r="18" spans="1:20" ht="15" x14ac:dyDescent="0.2">
      <c r="A18" s="30" t="s">
        <v>26</v>
      </c>
      <c r="B18" s="31">
        <v>30</v>
      </c>
      <c r="C18" s="27">
        <v>45</v>
      </c>
      <c r="D18" s="27">
        <v>30</v>
      </c>
      <c r="E18" s="27">
        <v>15</v>
      </c>
      <c r="F18" s="27">
        <f t="shared" si="7"/>
        <v>0</v>
      </c>
      <c r="G18" s="27">
        <f t="shared" si="8"/>
        <v>45</v>
      </c>
      <c r="H18" s="27">
        <f t="shared" si="9"/>
        <v>90</v>
      </c>
      <c r="I18" s="27">
        <v>3</v>
      </c>
      <c r="J18" s="29" t="s">
        <v>12</v>
      </c>
      <c r="K18" s="75">
        <f t="shared" si="3"/>
        <v>45</v>
      </c>
      <c r="L18" s="76">
        <f t="shared" si="4"/>
        <v>30</v>
      </c>
      <c r="M18" s="76">
        <f t="shared" si="5"/>
        <v>15</v>
      </c>
      <c r="N18" t="str">
        <f>IF(O18=""," ",VLOOKUP(O18,'[8]2012 личен състав ОТД'!$A:$AO,2,FALSE))</f>
        <v>доц. д-р Ваня Зидарова</v>
      </c>
      <c r="O18" t="str">
        <f>IF(A18=""," ",VLOOKUP(A18,'Български и испански език'!A:O,15,FALSE))</f>
        <v>зидарова</v>
      </c>
      <c r="P18">
        <f>IF(O18=""," ",VLOOKUP(O18,'[8]2012 личен състав ОТД'!$A:$AO,13,FALSE))</f>
        <v>1959</v>
      </c>
      <c r="Q18" t="str">
        <f>IF(O18=""," ",VLOOKUP(O18,'[8]2012 личен състав ОТД'!$A:$AO,12,FALSE))</f>
        <v>ОТД</v>
      </c>
      <c r="R18" t="str">
        <f>IF(A18=""," ",VLOOKUP(A18,'Профилиращ лист'!A:B,2,FALSE))</f>
        <v>ОФД</v>
      </c>
      <c r="T18">
        <f t="shared" ca="1" si="2"/>
        <v>54</v>
      </c>
    </row>
    <row r="19" spans="1:20" ht="15" hidden="1" x14ac:dyDescent="0.2">
      <c r="A19" s="30" t="s">
        <v>27</v>
      </c>
      <c r="B19" s="31">
        <v>15</v>
      </c>
      <c r="C19" s="27">
        <v>30</v>
      </c>
      <c r="D19" s="27">
        <v>0</v>
      </c>
      <c r="E19" s="27">
        <v>0</v>
      </c>
      <c r="F19" s="27">
        <f t="shared" si="7"/>
        <v>30</v>
      </c>
      <c r="G19" s="27">
        <f t="shared" si="8"/>
        <v>30</v>
      </c>
      <c r="H19" s="27">
        <f t="shared" si="9"/>
        <v>60</v>
      </c>
      <c r="I19" s="27">
        <v>2</v>
      </c>
      <c r="J19" s="29" t="s">
        <v>18</v>
      </c>
      <c r="K19" s="75">
        <f t="shared" si="3"/>
        <v>30</v>
      </c>
      <c r="L19" s="76">
        <f t="shared" si="4"/>
        <v>0</v>
      </c>
      <c r="M19" s="76">
        <f t="shared" si="5"/>
        <v>30</v>
      </c>
      <c r="N19" t="str">
        <f>IF(O19=""," ",VLOOKUP(O19,'[8]2012 личен състав ОТД'!$A:$AO,2,FALSE))</f>
        <v xml:space="preserve">   </v>
      </c>
      <c r="O19">
        <f>IF(A19=""," ",VLOOKUP(A19,'Български и испански език'!A:O,15,FALSE))</f>
        <v>0</v>
      </c>
      <c r="P19">
        <f>IF(O19=""," ",VLOOKUP(O19,'[8]2012 личен състав ОТД'!$A:$AO,13,FALSE))</f>
        <v>0</v>
      </c>
      <c r="Q19">
        <f>IF(O19=""," ",VLOOKUP(O19,'[8]2012 личен състав ОТД'!$A:$AO,12,FALSE))</f>
        <v>0</v>
      </c>
      <c r="R19" t="str">
        <f>IF(A19=""," ",VLOOKUP(A19,'Профилиращ лист'!A:B,2,FALSE))</f>
        <v>ФД</v>
      </c>
      <c r="T19">
        <f t="shared" ca="1" si="2"/>
        <v>2013</v>
      </c>
    </row>
    <row r="20" spans="1:20" ht="15" hidden="1" x14ac:dyDescent="0.2">
      <c r="A20" s="30" t="s">
        <v>28</v>
      </c>
      <c r="B20" s="31">
        <v>15</v>
      </c>
      <c r="C20" s="27">
        <v>15</v>
      </c>
      <c r="D20" s="27">
        <v>0</v>
      </c>
      <c r="E20" s="27">
        <v>0</v>
      </c>
      <c r="F20" s="27">
        <f t="shared" si="7"/>
        <v>15</v>
      </c>
      <c r="G20" s="27">
        <f t="shared" si="8"/>
        <v>45</v>
      </c>
      <c r="H20" s="27">
        <f t="shared" si="9"/>
        <v>60</v>
      </c>
      <c r="I20" s="27">
        <v>2</v>
      </c>
      <c r="J20" s="29" t="s">
        <v>18</v>
      </c>
      <c r="K20" s="75">
        <f t="shared" si="3"/>
        <v>15</v>
      </c>
      <c r="L20" s="76">
        <f t="shared" si="4"/>
        <v>0</v>
      </c>
      <c r="M20" s="76">
        <f t="shared" si="5"/>
        <v>15</v>
      </c>
      <c r="N20" t="str">
        <f>IF(O20=""," ",VLOOKUP(O20,'[8]2012 личен състав ОТД'!$A:$AO,2,FALSE))</f>
        <v xml:space="preserve">   </v>
      </c>
      <c r="O20">
        <f>IF(A20=""," ",VLOOKUP(A20,'Български и испански език'!A:O,15,FALSE))</f>
        <v>0</v>
      </c>
      <c r="P20">
        <f>IF(O20=""," ",VLOOKUP(O20,'[8]2012 личен състав ОТД'!$A:$AO,13,FALSE))</f>
        <v>0</v>
      </c>
      <c r="Q20">
        <f>IF(O20=""," ",VLOOKUP(O20,'[8]2012 личен състав ОТД'!$A:$AO,12,FALSE))</f>
        <v>0</v>
      </c>
      <c r="R20" t="str">
        <f>IF(A20=""," ",VLOOKUP(A20,'Профилиращ лист'!A:B,2,FALSE))</f>
        <v>ПЕД</v>
      </c>
      <c r="T20">
        <f t="shared" ca="1" si="2"/>
        <v>2013</v>
      </c>
    </row>
    <row r="21" spans="1:20" ht="15" hidden="1" x14ac:dyDescent="0.2">
      <c r="A21" s="30" t="s">
        <v>29</v>
      </c>
      <c r="B21" s="31">
        <v>30</v>
      </c>
      <c r="C21" s="27">
        <v>30</v>
      </c>
      <c r="D21" s="27">
        <v>0</v>
      </c>
      <c r="E21" s="27">
        <v>0</v>
      </c>
      <c r="F21" s="27">
        <f t="shared" si="7"/>
        <v>30</v>
      </c>
      <c r="G21" s="27">
        <v>0</v>
      </c>
      <c r="H21" s="27">
        <f t="shared" si="9"/>
        <v>0</v>
      </c>
      <c r="I21" s="27">
        <v>0</v>
      </c>
      <c r="J21" s="32" t="s">
        <v>14</v>
      </c>
      <c r="K21" s="75">
        <f t="shared" si="3"/>
        <v>60</v>
      </c>
      <c r="L21" s="76">
        <f t="shared" si="4"/>
        <v>0</v>
      </c>
      <c r="M21" s="76">
        <f t="shared" si="5"/>
        <v>60</v>
      </c>
      <c r="N21" t="str">
        <f>IF(O21=""," ",VLOOKUP(O21,'[8]2012 личен състав ОТД'!$A:$AO,2,FALSE))</f>
        <v xml:space="preserve">   </v>
      </c>
      <c r="O21">
        <f>IF(A21=""," ",VLOOKUP(A21,'Български и испански език'!A:O,15,FALSE))</f>
        <v>0</v>
      </c>
      <c r="P21">
        <f>IF(O21=""," ",VLOOKUP(O21,'[8]2012 личен състав ОТД'!$A:$AO,13,FALSE))</f>
        <v>0</v>
      </c>
      <c r="Q21">
        <f>IF(O21=""," ",VLOOKUP(O21,'[8]2012 личен състав ОТД'!$A:$AO,12,FALSE))</f>
        <v>0</v>
      </c>
      <c r="R21" t="str">
        <f>IF(A21=""," ",VLOOKUP(A21,'Профилиращ лист'!A:B,2,FALSE))</f>
        <v>ПЕД</v>
      </c>
      <c r="T21">
        <f t="shared" ca="1" si="2"/>
        <v>2013</v>
      </c>
    </row>
    <row r="22" spans="1:20" ht="15" hidden="1" x14ac:dyDescent="0.2">
      <c r="A22" s="30"/>
      <c r="B22" s="33">
        <f t="shared" ref="B22:I22" si="10">SUM(B13:B20)</f>
        <v>285</v>
      </c>
      <c r="C22" s="33">
        <f t="shared" si="10"/>
        <v>375</v>
      </c>
      <c r="D22" s="33">
        <f t="shared" si="10"/>
        <v>135</v>
      </c>
      <c r="E22" s="33">
        <f t="shared" si="10"/>
        <v>60</v>
      </c>
      <c r="F22" s="33">
        <f t="shared" si="10"/>
        <v>180</v>
      </c>
      <c r="G22" s="33">
        <f t="shared" si="10"/>
        <v>525</v>
      </c>
      <c r="H22" s="33">
        <f t="shared" si="10"/>
        <v>900</v>
      </c>
      <c r="I22" s="33">
        <f t="shared" si="10"/>
        <v>30</v>
      </c>
      <c r="J22" s="29"/>
      <c r="K22" s="75">
        <f t="shared" si="3"/>
        <v>0</v>
      </c>
      <c r="L22" s="76">
        <f t="shared" si="4"/>
        <v>0</v>
      </c>
      <c r="M22" s="76">
        <f t="shared" si="5"/>
        <v>0</v>
      </c>
      <c r="N22" t="e">
        <f>IF(O22=""," ",VLOOKUP(O22,'[8]2012 личен състав ОТД'!$A:$AO,2,FALSE))</f>
        <v>#N/A</v>
      </c>
      <c r="O22" t="str">
        <f>IF(A22=""," ",VLOOKUP(A22,'Български и испански език'!A:O,15,FALSE))</f>
        <v xml:space="preserve"> </v>
      </c>
      <c r="P22" t="e">
        <f>IF(O22=""," ",VLOOKUP(O22,'[8]2012 личен състав ОТД'!$A:$AO,13,FALSE))</f>
        <v>#N/A</v>
      </c>
      <c r="Q22" t="e">
        <f>IF(O22=""," ",VLOOKUP(O22,'[8]2012 личен състав ОТД'!$A:$AO,12,FALSE))</f>
        <v>#N/A</v>
      </c>
      <c r="R22" t="str">
        <f>IF(A22=""," ",VLOOKUP(A22,'Профилиращ лист'!A:B,2,FALSE))</f>
        <v xml:space="preserve"> </v>
      </c>
      <c r="T22" t="e">
        <f t="shared" ca="1" si="2"/>
        <v>#N/A</v>
      </c>
    </row>
    <row r="23" spans="1:20" ht="15" hidden="1" x14ac:dyDescent="0.2">
      <c r="A23" s="25" t="s">
        <v>30</v>
      </c>
      <c r="B23" s="26"/>
      <c r="C23" s="27"/>
      <c r="D23" s="27"/>
      <c r="E23" s="27"/>
      <c r="F23" s="27"/>
      <c r="G23" s="27"/>
      <c r="H23" s="27"/>
      <c r="I23" s="28"/>
      <c r="J23" s="29"/>
      <c r="K23" s="75">
        <f t="shared" si="3"/>
        <v>0</v>
      </c>
      <c r="L23" s="76">
        <f t="shared" si="4"/>
        <v>0</v>
      </c>
      <c r="M23" s="76">
        <f t="shared" si="5"/>
        <v>0</v>
      </c>
      <c r="N23" t="str">
        <f>IF(O23=""," ",VLOOKUP(O23,'[8]2012 личен състав ОТД'!$A:$AO,2,FALSE))</f>
        <v xml:space="preserve">   </v>
      </c>
      <c r="O23">
        <f>IF(A23=""," ",VLOOKUP(A23,'Български и испански език'!A:O,15,FALSE))</f>
        <v>0</v>
      </c>
      <c r="P23">
        <f>IF(O23=""," ",VLOOKUP(O23,'[8]2012 личен състав ОТД'!$A:$AO,13,FALSE))</f>
        <v>0</v>
      </c>
      <c r="Q23">
        <f>IF(O23=""," ",VLOOKUP(O23,'[8]2012 личен състав ОТД'!$A:$AO,12,FALSE))</f>
        <v>0</v>
      </c>
      <c r="R23" t="e">
        <f>IF(A23=""," ",VLOOKUP(A23,'Профилиращ лист'!A:B,2,FALSE))</f>
        <v>#N/A</v>
      </c>
      <c r="T23">
        <f t="shared" ca="1" si="2"/>
        <v>2013</v>
      </c>
    </row>
    <row r="24" spans="1:20" ht="15" hidden="1" x14ac:dyDescent="0.2">
      <c r="A24" s="30" t="s">
        <v>31</v>
      </c>
      <c r="B24" s="31">
        <v>30</v>
      </c>
      <c r="C24" s="27">
        <v>30</v>
      </c>
      <c r="D24" s="27">
        <v>30</v>
      </c>
      <c r="E24" s="27">
        <v>0</v>
      </c>
      <c r="F24" s="27">
        <f t="shared" ref="F24:F33" si="11">C24-D24-E24</f>
        <v>0</v>
      </c>
      <c r="G24" s="27">
        <f t="shared" ref="G24:G32" si="12">H24-C24</f>
        <v>60</v>
      </c>
      <c r="H24" s="27">
        <f t="shared" ref="H24:H33" si="13">I24*30</f>
        <v>90</v>
      </c>
      <c r="I24" s="27">
        <v>3</v>
      </c>
      <c r="J24" s="32" t="s">
        <v>14</v>
      </c>
      <c r="K24" s="75">
        <f t="shared" si="3"/>
        <v>75</v>
      </c>
      <c r="L24" s="76">
        <f t="shared" si="4"/>
        <v>60</v>
      </c>
      <c r="M24" s="76">
        <f t="shared" si="5"/>
        <v>15</v>
      </c>
      <c r="N24" t="str">
        <f>IF(O24=""," ",VLOOKUP(O24,'[8]2012 личен състав ОТД'!$A:$AO,2,FALSE))</f>
        <v xml:space="preserve">   </v>
      </c>
      <c r="O24">
        <f>IF(A24=""," ",VLOOKUP(A24,'Български и испански език'!A:O,15,FALSE))</f>
        <v>0</v>
      </c>
      <c r="P24">
        <f>IF(O24=""," ",VLOOKUP(O24,'[8]2012 личен състав ОТД'!$A:$AO,13,FALSE))</f>
        <v>0</v>
      </c>
      <c r="Q24">
        <f>IF(O24=""," ",VLOOKUP(O24,'[8]2012 личен състав ОТД'!$A:$AO,12,FALSE))</f>
        <v>0</v>
      </c>
      <c r="R24" t="str">
        <f>IF(A24=""," ",VLOOKUP(A24,'Профилиращ лист'!A:B,2,FALSE))</f>
        <v>СПЕ</v>
      </c>
      <c r="T24">
        <f t="shared" ca="1" si="2"/>
        <v>2013</v>
      </c>
    </row>
    <row r="25" spans="1:20" ht="15" x14ac:dyDescent="0.2">
      <c r="A25" s="30" t="s">
        <v>32</v>
      </c>
      <c r="B25" s="31">
        <v>15</v>
      </c>
      <c r="C25" s="27">
        <v>30</v>
      </c>
      <c r="D25" s="27">
        <v>30</v>
      </c>
      <c r="E25" s="27">
        <v>0</v>
      </c>
      <c r="F25" s="27">
        <f t="shared" si="11"/>
        <v>0</v>
      </c>
      <c r="G25" s="27">
        <f t="shared" si="12"/>
        <v>60</v>
      </c>
      <c r="H25" s="27">
        <f t="shared" si="13"/>
        <v>90</v>
      </c>
      <c r="I25" s="27">
        <v>3</v>
      </c>
      <c r="J25" s="29" t="s">
        <v>12</v>
      </c>
      <c r="K25" s="75">
        <f t="shared" si="3"/>
        <v>30</v>
      </c>
      <c r="L25" s="76">
        <f t="shared" si="4"/>
        <v>30</v>
      </c>
      <c r="M25" s="76">
        <f t="shared" si="5"/>
        <v>0</v>
      </c>
      <c r="N25" t="str">
        <f>IF(O25=""," ",VLOOKUP(O25,'[8]2012 личен състав ОТД'!$A:$AO,2,FALSE))</f>
        <v>проф. д.с.н. Албена Хранова</v>
      </c>
      <c r="O25" t="s">
        <v>485</v>
      </c>
      <c r="P25">
        <f>IF(O25=""," ",VLOOKUP(O25,'[8]2012 личен състав ОТД'!$A:$AO,13,FALSE))</f>
        <v>1960</v>
      </c>
      <c r="Q25" t="str">
        <f>IF(O25=""," ",VLOOKUP(O25,'[8]2012 личен състав ОТД'!$A:$AO,12,FALSE))</f>
        <v>ОТД</v>
      </c>
      <c r="R25" t="str">
        <f>IF(A25=""," ",VLOOKUP(A25,'Профилиращ лист'!A:B,2,FALSE))</f>
        <v>ИЗБ</v>
      </c>
      <c r="T25">
        <f t="shared" ca="1" si="2"/>
        <v>53</v>
      </c>
    </row>
    <row r="26" spans="1:20" ht="15" x14ac:dyDescent="0.2">
      <c r="A26" s="30" t="s">
        <v>231</v>
      </c>
      <c r="B26" s="31">
        <v>30</v>
      </c>
      <c r="C26" s="27">
        <v>30</v>
      </c>
      <c r="D26" s="27">
        <v>15</v>
      </c>
      <c r="E26" s="27">
        <v>15</v>
      </c>
      <c r="F26" s="27">
        <f t="shared" si="11"/>
        <v>0</v>
      </c>
      <c r="G26" s="27">
        <f t="shared" si="12"/>
        <v>60</v>
      </c>
      <c r="H26" s="27">
        <f t="shared" si="13"/>
        <v>90</v>
      </c>
      <c r="I26" s="27">
        <v>3</v>
      </c>
      <c r="J26" s="32" t="s">
        <v>12</v>
      </c>
      <c r="K26" s="75">
        <f t="shared" si="3"/>
        <v>30</v>
      </c>
      <c r="L26" s="76">
        <f t="shared" si="4"/>
        <v>15</v>
      </c>
      <c r="M26" s="76">
        <f t="shared" si="5"/>
        <v>15</v>
      </c>
      <c r="N26" t="str">
        <f>IF(O26=""," ",VLOOKUP(O26,'[8]2012 личен състав ОТД'!$A:$AO,2,FALSE))</f>
        <v>гл. ас. д-р Даниела Янева</v>
      </c>
      <c r="O26" t="s">
        <v>527</v>
      </c>
      <c r="P26">
        <f>IF(O26=""," ",VLOOKUP(O26,'[8]2012 личен състав ОТД'!$A:$AO,13,FALSE))</f>
        <v>0</v>
      </c>
      <c r="Q26" t="str">
        <f>IF(O26=""," ",VLOOKUP(O26,'[8]2012 личен състав ОТД'!$A:$AO,12,FALSE))</f>
        <v>ХОН</v>
      </c>
      <c r="R26" t="str">
        <f>IF(A26=""," ",VLOOKUP(A26,'Профилиращ лист'!A:B,2,FALSE))</f>
        <v>СПЕ</v>
      </c>
      <c r="T26">
        <f t="shared" ca="1" si="2"/>
        <v>2013</v>
      </c>
    </row>
    <row r="27" spans="1:20" ht="15" hidden="1" x14ac:dyDescent="0.2">
      <c r="A27" s="30" t="s">
        <v>24</v>
      </c>
      <c r="B27" s="31">
        <v>30</v>
      </c>
      <c r="C27" s="27">
        <v>30</v>
      </c>
      <c r="D27" s="27">
        <v>0</v>
      </c>
      <c r="E27" s="27">
        <v>0</v>
      </c>
      <c r="F27" s="27">
        <v>30</v>
      </c>
      <c r="G27" s="27">
        <v>60</v>
      </c>
      <c r="H27" s="27">
        <v>90</v>
      </c>
      <c r="I27" s="27">
        <v>3</v>
      </c>
      <c r="J27" s="32" t="s">
        <v>12</v>
      </c>
      <c r="K27" s="75">
        <f t="shared" si="3"/>
        <v>60</v>
      </c>
      <c r="L27" s="76">
        <f t="shared" si="4"/>
        <v>0</v>
      </c>
      <c r="M27" s="76">
        <f t="shared" si="5"/>
        <v>60</v>
      </c>
      <c r="N27" t="str">
        <f>IF(O27=""," ",VLOOKUP(O27,'[8]2012 личен състав ОТД'!$A:$AO,2,FALSE))</f>
        <v>доц. д-р Станка Козарова</v>
      </c>
      <c r="O27" t="str">
        <f>IF(A27=""," ",VLOOKUP(A27,'Български и испански език'!A:O,15,FALSE))</f>
        <v>козарова</v>
      </c>
      <c r="P27">
        <f>IF(O27=""," ",VLOOKUP(O27,'[8]2012 личен състав ОТД'!$A:$AO,13,FALSE))</f>
        <v>1959</v>
      </c>
      <c r="Q27" t="str">
        <f>IF(O27=""," ",VLOOKUP(O27,'[8]2012 личен състав ОТД'!$A:$AO,12,FALSE))</f>
        <v>ОТД</v>
      </c>
      <c r="R27" t="str">
        <f>IF(A27=""," ",VLOOKUP(A27,'Профилиращ лист'!A:B,2,FALSE))</f>
        <v>ОФД</v>
      </c>
      <c r="T27">
        <f t="shared" ca="1" si="2"/>
        <v>54</v>
      </c>
    </row>
    <row r="28" spans="1:20" ht="15" x14ac:dyDescent="0.2">
      <c r="A28" s="30" t="s">
        <v>34</v>
      </c>
      <c r="B28" s="31">
        <v>60</v>
      </c>
      <c r="C28" s="27">
        <v>60</v>
      </c>
      <c r="D28" s="27">
        <v>45</v>
      </c>
      <c r="E28" s="27">
        <v>15</v>
      </c>
      <c r="F28" s="27">
        <f t="shared" si="11"/>
        <v>0</v>
      </c>
      <c r="G28" s="27">
        <f t="shared" si="12"/>
        <v>60</v>
      </c>
      <c r="H28" s="27">
        <f t="shared" si="13"/>
        <v>120</v>
      </c>
      <c r="I28" s="27">
        <v>4</v>
      </c>
      <c r="J28" s="29" t="s">
        <v>12</v>
      </c>
      <c r="K28" s="75">
        <f t="shared" si="3"/>
        <v>60</v>
      </c>
      <c r="L28" s="76">
        <f t="shared" si="4"/>
        <v>45</v>
      </c>
      <c r="M28" s="76">
        <f t="shared" si="5"/>
        <v>15</v>
      </c>
      <c r="N28" t="str">
        <f>IF(O28=""," ",VLOOKUP(O28,'[8]2012 личен състав ОТД'!$A:$AO,2,FALSE))</f>
        <v>проф. д.п.н. Пламен Радев</v>
      </c>
      <c r="O28" t="str">
        <f>IF(A28=""," ",VLOOKUP(A28,'Български и испански език'!A:O,15,FALSE))</f>
        <v>радев</v>
      </c>
      <c r="P28">
        <f>IF(O28=""," ",VLOOKUP(O28,'[8]2012 личен състав ОТД'!$A:$AO,13,FALSE))</f>
        <v>1950</v>
      </c>
      <c r="Q28" t="str">
        <f>IF(O28=""," ",VLOOKUP(O28,'[8]2012 личен състав ОТД'!$A:$AO,12,FALSE))</f>
        <v>ОТД</v>
      </c>
      <c r="R28" t="str">
        <f>IF(A28=""," ",VLOOKUP(A28,'Профилиращ лист'!A:B,2,FALSE))</f>
        <v>ПЕД</v>
      </c>
      <c r="T28">
        <f t="shared" ca="1" si="2"/>
        <v>63</v>
      </c>
    </row>
    <row r="29" spans="1:20" ht="15" hidden="1" x14ac:dyDescent="0.2">
      <c r="A29" s="30" t="s">
        <v>228</v>
      </c>
      <c r="B29" s="31">
        <v>90</v>
      </c>
      <c r="C29" s="27">
        <v>105</v>
      </c>
      <c r="D29" s="27">
        <v>0</v>
      </c>
      <c r="E29" s="27">
        <v>0</v>
      </c>
      <c r="F29" s="27">
        <f t="shared" si="11"/>
        <v>105</v>
      </c>
      <c r="G29" s="27">
        <f t="shared" si="12"/>
        <v>135</v>
      </c>
      <c r="H29" s="27">
        <f t="shared" si="13"/>
        <v>240</v>
      </c>
      <c r="I29" s="27">
        <v>8</v>
      </c>
      <c r="J29" s="32" t="s">
        <v>14</v>
      </c>
      <c r="K29" s="75">
        <f t="shared" si="3"/>
        <v>630</v>
      </c>
      <c r="L29" s="76">
        <f t="shared" si="4"/>
        <v>0</v>
      </c>
      <c r="M29" s="76">
        <f t="shared" si="5"/>
        <v>630</v>
      </c>
      <c r="N29" t="e">
        <f>IF(O29=""," ",VLOOKUP(O29,'[8]2012 личен състав ОТД'!$A:$AO,2,FALSE))</f>
        <v>#N/A</v>
      </c>
      <c r="O29" t="e">
        <f>IF(A29=""," ",VLOOKUP(A29,'Български и испански език'!A:O,15,FALSE))</f>
        <v>#N/A</v>
      </c>
      <c r="P29" t="e">
        <f>IF(O29=""," ",VLOOKUP(O29,'[8]2012 личен състав ОТД'!$A:$AO,13,FALSE))</f>
        <v>#N/A</v>
      </c>
      <c r="Q29" t="e">
        <f>IF(O29=""," ",VLOOKUP(O29,'[8]2012 личен състав ОТД'!$A:$AO,12,FALSE))</f>
        <v>#N/A</v>
      </c>
      <c r="R29" t="e">
        <f>IF(A29=""," ",VLOOKUP(A29,'Профилиращ лист'!A:B,2,FALSE))</f>
        <v>#N/A</v>
      </c>
      <c r="T29" t="e">
        <f t="shared" ca="1" si="2"/>
        <v>#N/A</v>
      </c>
    </row>
    <row r="30" spans="1:20" ht="15" x14ac:dyDescent="0.2">
      <c r="A30" s="30" t="s">
        <v>35</v>
      </c>
      <c r="B30" s="31">
        <v>45</v>
      </c>
      <c r="C30" s="27">
        <v>45</v>
      </c>
      <c r="D30" s="27">
        <v>45</v>
      </c>
      <c r="E30" s="27">
        <v>0</v>
      </c>
      <c r="F30" s="27">
        <f t="shared" si="11"/>
        <v>0</v>
      </c>
      <c r="G30" s="27">
        <f t="shared" si="12"/>
        <v>45</v>
      </c>
      <c r="H30" s="27">
        <f t="shared" si="13"/>
        <v>90</v>
      </c>
      <c r="I30" s="27">
        <v>3</v>
      </c>
      <c r="J30" s="29" t="s">
        <v>12</v>
      </c>
      <c r="K30" s="75">
        <f t="shared" si="3"/>
        <v>45</v>
      </c>
      <c r="L30" s="76">
        <f t="shared" si="4"/>
        <v>45</v>
      </c>
      <c r="M30" s="76">
        <f t="shared" si="5"/>
        <v>0</v>
      </c>
      <c r="N30" t="str">
        <f>IF(O30=""," ",VLOOKUP(O30,'[8]2012 личен състав ОТД'!$A:$AO,2,FALSE))</f>
        <v>проф. д.п.н. Румен Стаматов</v>
      </c>
      <c r="O30" t="str">
        <f>IF(A30=""," ",VLOOKUP(A30,'Български и испански език'!A:O,15,FALSE))</f>
        <v>стаматов</v>
      </c>
      <c r="P30">
        <f>IF(O30=""," ",VLOOKUP(O30,'[8]2012 личен състав ОТД'!$A:$AO,13,FALSE))</f>
        <v>1953</v>
      </c>
      <c r="Q30" t="str">
        <f>IF(O30=""," ",VLOOKUP(O30,'[8]2012 личен състав ОТД'!$A:$AO,12,FALSE))</f>
        <v>ОТД</v>
      </c>
      <c r="R30" t="str">
        <f>IF(A30=""," ",VLOOKUP(A30,'Профилиращ лист'!A:B,2,FALSE))</f>
        <v>ПЕД</v>
      </c>
      <c r="T30">
        <f t="shared" ca="1" si="2"/>
        <v>60</v>
      </c>
    </row>
    <row r="31" spans="1:20" ht="15" x14ac:dyDescent="0.2">
      <c r="A31" s="30" t="s">
        <v>232</v>
      </c>
      <c r="B31" s="31">
        <v>30</v>
      </c>
      <c r="C31" s="27">
        <v>45</v>
      </c>
      <c r="D31" s="27">
        <v>30</v>
      </c>
      <c r="E31" s="27">
        <v>15</v>
      </c>
      <c r="F31" s="27">
        <f t="shared" si="11"/>
        <v>0</v>
      </c>
      <c r="G31" s="27">
        <f t="shared" si="12"/>
        <v>45</v>
      </c>
      <c r="H31" s="27">
        <f t="shared" si="13"/>
        <v>90</v>
      </c>
      <c r="I31" s="27">
        <v>3</v>
      </c>
      <c r="J31" s="29" t="s">
        <v>12</v>
      </c>
      <c r="K31" s="75">
        <f t="shared" si="3"/>
        <v>45</v>
      </c>
      <c r="L31" s="76">
        <f t="shared" si="4"/>
        <v>30</v>
      </c>
      <c r="M31" s="76">
        <f t="shared" si="5"/>
        <v>15</v>
      </c>
      <c r="N31" t="str">
        <f>IF(O31=""," ",VLOOKUP(O31,'[8]2012 личен състав ОТД'!$A:$AO,2,FALSE))</f>
        <v>гл. ас. д-р Дария Карапеткова</v>
      </c>
      <c r="O31" t="s">
        <v>526</v>
      </c>
      <c r="P31">
        <f>IF(O31=""," ",VLOOKUP(O31,'[8]2012 личен състав ОТД'!$A:$AO,13,FALSE))</f>
        <v>0</v>
      </c>
      <c r="Q31" t="str">
        <f>IF(O31=""," ",VLOOKUP(O31,'[8]2012 личен състав ОТД'!$A:$AO,12,FALSE))</f>
        <v>ХОН</v>
      </c>
      <c r="R31" t="str">
        <f>IF(A31=""," ",VLOOKUP(A31,'Профилиращ лист'!A:B,2,FALSE))</f>
        <v>СПЕ</v>
      </c>
      <c r="T31">
        <f t="shared" ca="1" si="2"/>
        <v>2013</v>
      </c>
    </row>
    <row r="32" spans="1:20" ht="15" x14ac:dyDescent="0.2">
      <c r="A32" s="30" t="s">
        <v>37</v>
      </c>
      <c r="B32" s="31">
        <v>30</v>
      </c>
      <c r="C32" s="27">
        <v>45</v>
      </c>
      <c r="D32" s="27">
        <v>30</v>
      </c>
      <c r="E32" s="27">
        <v>15</v>
      </c>
      <c r="F32" s="27">
        <f t="shared" si="11"/>
        <v>0</v>
      </c>
      <c r="G32" s="27">
        <f t="shared" si="12"/>
        <v>45</v>
      </c>
      <c r="H32" s="27">
        <f t="shared" si="13"/>
        <v>90</v>
      </c>
      <c r="I32" s="27">
        <v>3</v>
      </c>
      <c r="J32" s="29" t="s">
        <v>12</v>
      </c>
      <c r="K32" s="75">
        <f t="shared" si="3"/>
        <v>45</v>
      </c>
      <c r="L32" s="76">
        <f t="shared" si="4"/>
        <v>30</v>
      </c>
      <c r="M32" s="76">
        <f t="shared" si="5"/>
        <v>15</v>
      </c>
      <c r="N32" t="str">
        <f>IF(O32=""," ",VLOOKUP(O32,'[8]2012 личен състав ОТД'!$A:$AO,2,FALSE))</f>
        <v>гл. ас. д-р Иванка Гайдаджиева</v>
      </c>
      <c r="O32" t="str">
        <f>IF(A32=""," ",VLOOKUP(A32,'Български и испански език'!A:O,15,FALSE))</f>
        <v>гайдаджиева</v>
      </c>
      <c r="P32">
        <f>IF(O32=""," ",VLOOKUP(O32,'[8]2012 личен състав ОТД'!$A:$AO,13,FALSE))</f>
        <v>1958</v>
      </c>
      <c r="Q32" t="str">
        <f>IF(O32=""," ",VLOOKUP(O32,'[8]2012 личен състав ОТД'!$A:$AO,12,FALSE))</f>
        <v>ОТД</v>
      </c>
      <c r="R32" t="str">
        <f>IF(A32=""," ",VLOOKUP(A32,'Профилиращ лист'!A:B,2,FALSE))</f>
        <v>СПЕ</v>
      </c>
      <c r="T32">
        <f t="shared" ca="1" si="2"/>
        <v>55</v>
      </c>
    </row>
    <row r="33" spans="1:28" ht="15" hidden="1" x14ac:dyDescent="0.2">
      <c r="A33" s="30" t="s">
        <v>29</v>
      </c>
      <c r="B33" s="31">
        <v>30</v>
      </c>
      <c r="C33" s="27">
        <v>30</v>
      </c>
      <c r="D33" s="27">
        <v>0</v>
      </c>
      <c r="E33" s="27">
        <v>0</v>
      </c>
      <c r="F33" s="27">
        <f t="shared" si="11"/>
        <v>30</v>
      </c>
      <c r="G33" s="27">
        <v>0</v>
      </c>
      <c r="H33" s="27">
        <f t="shared" si="13"/>
        <v>0</v>
      </c>
      <c r="I33" s="28">
        <v>0</v>
      </c>
      <c r="J33" s="32" t="s">
        <v>14</v>
      </c>
      <c r="K33" s="75">
        <f t="shared" si="3"/>
        <v>60</v>
      </c>
      <c r="L33" s="76">
        <f t="shared" si="4"/>
        <v>0</v>
      </c>
      <c r="M33" s="76">
        <f t="shared" si="5"/>
        <v>60</v>
      </c>
      <c r="N33" t="str">
        <f>IF(O33=""," ",VLOOKUP(O33,'[8]2012 личен състав ОТД'!$A:$AO,2,FALSE))</f>
        <v xml:space="preserve">   </v>
      </c>
      <c r="O33">
        <f>IF(A33=""," ",VLOOKUP(A33,'Български и испански език'!A:O,15,FALSE))</f>
        <v>0</v>
      </c>
      <c r="P33">
        <f>IF(O33=""," ",VLOOKUP(O33,'[8]2012 личен състав ОТД'!$A:$AO,13,FALSE))</f>
        <v>0</v>
      </c>
      <c r="Q33">
        <f>IF(O33=""," ",VLOOKUP(O33,'[8]2012 личен състав ОТД'!$A:$AO,12,FALSE))</f>
        <v>0</v>
      </c>
      <c r="R33" t="str">
        <f>IF(A33=""," ",VLOOKUP(A33,'Профилиращ лист'!A:B,2,FALSE))</f>
        <v>ПЕД</v>
      </c>
      <c r="T33">
        <f t="shared" ca="1" si="2"/>
        <v>2013</v>
      </c>
    </row>
    <row r="34" spans="1:28" ht="15" hidden="1" x14ac:dyDescent="0.2">
      <c r="A34" s="30"/>
      <c r="B34" s="33">
        <f t="shared" ref="B34:I34" si="14">SUM(B24:B32)</f>
        <v>360</v>
      </c>
      <c r="C34" s="33">
        <f t="shared" si="14"/>
        <v>420</v>
      </c>
      <c r="D34" s="33">
        <f t="shared" si="14"/>
        <v>225</v>
      </c>
      <c r="E34" s="33">
        <f t="shared" si="14"/>
        <v>60</v>
      </c>
      <c r="F34" s="33">
        <f t="shared" si="14"/>
        <v>135</v>
      </c>
      <c r="G34" s="33">
        <f t="shared" si="14"/>
        <v>570</v>
      </c>
      <c r="H34" s="33">
        <f t="shared" si="14"/>
        <v>990</v>
      </c>
      <c r="I34" s="33">
        <f t="shared" si="14"/>
        <v>33</v>
      </c>
      <c r="J34" s="29"/>
      <c r="K34" s="75">
        <f t="shared" si="3"/>
        <v>0</v>
      </c>
      <c r="L34" s="76">
        <f t="shared" si="4"/>
        <v>0</v>
      </c>
      <c r="M34" s="76">
        <f t="shared" si="5"/>
        <v>0</v>
      </c>
      <c r="N34" t="e">
        <f>IF(O34=""," ",VLOOKUP(O34,'[8]2012 личен състав ОТД'!$A:$AO,2,FALSE))</f>
        <v>#N/A</v>
      </c>
      <c r="O34" t="str">
        <f>IF(A34=""," ",VLOOKUP(A34,'Български и испански език'!A:O,15,FALSE))</f>
        <v xml:space="preserve"> </v>
      </c>
      <c r="P34" t="e">
        <f>IF(O34=""," ",VLOOKUP(O34,'[8]2012 личен състав ОТД'!$A:$AO,13,FALSE))</f>
        <v>#N/A</v>
      </c>
      <c r="Q34" t="e">
        <f>IF(O34=""," ",VLOOKUP(O34,'[8]2012 личен състав ОТД'!$A:$AO,12,FALSE))</f>
        <v>#N/A</v>
      </c>
      <c r="R34" t="str">
        <f>IF(A34=""," ",VLOOKUP(A34,'Профилиращ лист'!A:B,2,FALSE))</f>
        <v xml:space="preserve"> </v>
      </c>
      <c r="T34" t="e">
        <f t="shared" ca="1" si="2"/>
        <v>#N/A</v>
      </c>
    </row>
    <row r="35" spans="1:28" ht="15" hidden="1" x14ac:dyDescent="0.2">
      <c r="A35" s="25" t="s">
        <v>38</v>
      </c>
      <c r="B35" s="26"/>
      <c r="C35" s="27"/>
      <c r="D35" s="27"/>
      <c r="E35" s="27"/>
      <c r="F35" s="27"/>
      <c r="G35" s="27"/>
      <c r="H35" s="27"/>
      <c r="I35" s="27"/>
      <c r="J35" s="29"/>
      <c r="K35" s="75">
        <f t="shared" si="3"/>
        <v>0</v>
      </c>
      <c r="L35" s="76">
        <f t="shared" si="4"/>
        <v>0</v>
      </c>
      <c r="M35" s="76">
        <f t="shared" si="5"/>
        <v>0</v>
      </c>
      <c r="N35" t="str">
        <f>IF(O35=""," ",VLOOKUP(O35,'[8]2012 личен състав ОТД'!$A:$AO,2,FALSE))</f>
        <v xml:space="preserve">   </v>
      </c>
      <c r="O35">
        <f>IF(A35=""," ",VLOOKUP(A35,'Български и испански език'!A:O,15,FALSE))</f>
        <v>0</v>
      </c>
      <c r="P35">
        <f>IF(O35=""," ",VLOOKUP(O35,'[8]2012 личен състав ОТД'!$A:$AO,13,FALSE))</f>
        <v>0</v>
      </c>
      <c r="Q35">
        <f>IF(O35=""," ",VLOOKUP(O35,'[8]2012 личен състав ОТД'!$A:$AO,12,FALSE))</f>
        <v>0</v>
      </c>
      <c r="R35" t="e">
        <f>IF(A35=""," ",VLOOKUP(A35,'Профилиращ лист'!A:B,2,FALSE))</f>
        <v>#N/A</v>
      </c>
      <c r="T35">
        <f t="shared" ref="T35:T66" ca="1" si="15">Години-P35</f>
        <v>2013</v>
      </c>
    </row>
    <row r="36" spans="1:28" ht="15" hidden="1" x14ac:dyDescent="0.2">
      <c r="A36" s="30" t="s">
        <v>39</v>
      </c>
      <c r="B36" s="31">
        <v>45</v>
      </c>
      <c r="C36" s="27">
        <v>45</v>
      </c>
      <c r="D36" s="27">
        <v>30</v>
      </c>
      <c r="E36" s="27">
        <v>15</v>
      </c>
      <c r="F36" s="27">
        <f t="shared" ref="F36:F44" si="16">C36-D36-E36</f>
        <v>0</v>
      </c>
      <c r="G36" s="27">
        <f t="shared" ref="G36:G44" si="17">H36-C36</f>
        <v>75</v>
      </c>
      <c r="H36" s="27">
        <f t="shared" ref="H36:H44" si="18">I36*30</f>
        <v>120</v>
      </c>
      <c r="I36" s="27">
        <v>4</v>
      </c>
      <c r="J36" s="29" t="s">
        <v>14</v>
      </c>
      <c r="K36" s="75">
        <f t="shared" si="3"/>
        <v>105</v>
      </c>
      <c r="L36" s="76">
        <f t="shared" si="4"/>
        <v>60</v>
      </c>
      <c r="M36" s="76">
        <f t="shared" si="5"/>
        <v>45</v>
      </c>
      <c r="N36" t="str">
        <f>IF(O36=""," ",VLOOKUP(O36,'[8]2012 личен състав ОТД'!$A:$AO,2,FALSE))</f>
        <v xml:space="preserve">   </v>
      </c>
      <c r="O36">
        <f>IF(A36=""," ",VLOOKUP(A36,'Български и испански език'!A:O,15,FALSE))</f>
        <v>0</v>
      </c>
      <c r="P36">
        <f>IF(O36=""," ",VLOOKUP(O36,'[8]2012 личен състав ОТД'!$A:$AO,13,FALSE))</f>
        <v>0</v>
      </c>
      <c r="Q36">
        <f>IF(O36=""," ",VLOOKUP(O36,'[8]2012 личен състав ОТД'!$A:$AO,12,FALSE))</f>
        <v>0</v>
      </c>
      <c r="R36" t="str">
        <f>IF(A36=""," ",VLOOKUP(A36,'Профилиращ лист'!A:B,2,FALSE))</f>
        <v>СПЕ</v>
      </c>
      <c r="T36">
        <f t="shared" ca="1" si="15"/>
        <v>2013</v>
      </c>
    </row>
    <row r="37" spans="1:28" ht="15" x14ac:dyDescent="0.2">
      <c r="A37" s="30" t="s">
        <v>31</v>
      </c>
      <c r="B37" s="31">
        <v>30</v>
      </c>
      <c r="C37" s="27">
        <v>45</v>
      </c>
      <c r="D37" s="27">
        <v>30</v>
      </c>
      <c r="E37" s="27">
        <v>15</v>
      </c>
      <c r="F37" s="27">
        <f t="shared" si="16"/>
        <v>0</v>
      </c>
      <c r="G37" s="27">
        <f t="shared" si="17"/>
        <v>45</v>
      </c>
      <c r="H37" s="27">
        <f t="shared" si="18"/>
        <v>90</v>
      </c>
      <c r="I37" s="27">
        <v>3</v>
      </c>
      <c r="J37" s="29" t="s">
        <v>12</v>
      </c>
      <c r="K37" s="75">
        <f t="shared" si="3"/>
        <v>75</v>
      </c>
      <c r="L37" s="76">
        <f t="shared" si="4"/>
        <v>60</v>
      </c>
      <c r="M37" s="76">
        <f t="shared" si="5"/>
        <v>15</v>
      </c>
      <c r="N37" t="str">
        <f>IF(O37=""," ",VLOOKUP(O37,'[8]2012 личен състав ОТД'!$A:$AO,2,FALSE))</f>
        <v>доц. д-р Елена Гетова</v>
      </c>
      <c r="O37" t="s">
        <v>468</v>
      </c>
      <c r="P37">
        <f>IF(O37=""," ",VLOOKUP(O37,'[8]2012 личен състав ОТД'!$A:$AO,13,FALSE))</f>
        <v>1969</v>
      </c>
      <c r="Q37" t="str">
        <f>IF(O37=""," ",VLOOKUP(O37,'[8]2012 личен състав ОТД'!$A:$AO,12,FALSE))</f>
        <v>ОТД</v>
      </c>
      <c r="R37" t="str">
        <f>IF(A37=""," ",VLOOKUP(A37,'Профилиращ лист'!A:B,2,FALSE))</f>
        <v>СПЕ</v>
      </c>
      <c r="T37">
        <f t="shared" ca="1" si="15"/>
        <v>44</v>
      </c>
    </row>
    <row r="38" spans="1:28" ht="15" x14ac:dyDescent="0.2">
      <c r="A38" s="67" t="s">
        <v>40</v>
      </c>
      <c r="B38" s="67">
        <v>30</v>
      </c>
      <c r="C38" s="84">
        <v>45</v>
      </c>
      <c r="D38" s="84">
        <v>30</v>
      </c>
      <c r="E38" s="84">
        <v>15</v>
      </c>
      <c r="F38" s="84">
        <f>C38-D38-E38</f>
        <v>0</v>
      </c>
      <c r="G38" s="84">
        <f t="shared" si="17"/>
        <v>45</v>
      </c>
      <c r="H38" s="84">
        <f t="shared" si="18"/>
        <v>90</v>
      </c>
      <c r="I38" s="84">
        <v>3</v>
      </c>
      <c r="J38" s="84" t="s">
        <v>12</v>
      </c>
      <c r="K38" s="75">
        <f t="shared" si="3"/>
        <v>45</v>
      </c>
      <c r="L38" s="76">
        <f t="shared" si="4"/>
        <v>30</v>
      </c>
      <c r="M38" s="76">
        <f t="shared" si="5"/>
        <v>15</v>
      </c>
      <c r="N38" t="str">
        <f>IF(O38=""," ",VLOOKUP(O38,'[8]2012 личен състав ОТД'!$A:$AO,2,FALSE))</f>
        <v>проф. дфн Диана Иванова</v>
      </c>
      <c r="O38" t="str">
        <f>IF(A38=""," ",VLOOKUP(A38,'Български и испански език'!A:O,15,FALSE))</f>
        <v>диванова</v>
      </c>
      <c r="P38">
        <f>IF(O38=""," ",VLOOKUP(O38,'[8]2012 личен състав ОТД'!$A:$AO,13,FALSE))</f>
        <v>1950</v>
      </c>
      <c r="Q38" t="str">
        <f>IF(O38=""," ",VLOOKUP(O38,'[8]2012 личен състав ОТД'!$A:$AO,12,FALSE))</f>
        <v>ОТД</v>
      </c>
      <c r="R38" t="str">
        <f>IF(A38=""," ",VLOOKUP(A38,'Профилиращ лист'!A:B,2,FALSE))</f>
        <v>СПЕ</v>
      </c>
      <c r="T38">
        <f t="shared" ca="1" si="15"/>
        <v>63</v>
      </c>
    </row>
    <row r="39" spans="1:28" ht="15" x14ac:dyDescent="0.2">
      <c r="A39" s="30" t="s">
        <v>233</v>
      </c>
      <c r="B39" s="31">
        <v>30</v>
      </c>
      <c r="C39" s="27">
        <v>30</v>
      </c>
      <c r="D39" s="27">
        <v>15</v>
      </c>
      <c r="E39" s="27">
        <v>15</v>
      </c>
      <c r="F39" s="27">
        <f t="shared" si="16"/>
        <v>0</v>
      </c>
      <c r="G39" s="27">
        <f t="shared" si="17"/>
        <v>60</v>
      </c>
      <c r="H39" s="27">
        <f t="shared" si="18"/>
        <v>90</v>
      </c>
      <c r="I39" s="27">
        <v>3</v>
      </c>
      <c r="J39" s="29" t="s">
        <v>12</v>
      </c>
      <c r="K39" s="75">
        <f t="shared" si="3"/>
        <v>30</v>
      </c>
      <c r="L39" s="76">
        <f t="shared" si="4"/>
        <v>15</v>
      </c>
      <c r="M39" s="76">
        <f t="shared" si="5"/>
        <v>15</v>
      </c>
      <c r="N39" t="str">
        <f>IF(O39=""," ",VLOOKUP(O39,'[8]2012 личен състав ОТД'!$A:$AO,2,FALSE))</f>
        <v>гл. ас. д-р Даниела Янева</v>
      </c>
      <c r="O39" t="s">
        <v>527</v>
      </c>
      <c r="P39">
        <f>IF(O39=""," ",VLOOKUP(O39,'[8]2012 личен състав ОТД'!$A:$AO,13,FALSE))</f>
        <v>0</v>
      </c>
      <c r="Q39" t="str">
        <f>IF(O39=""," ",VLOOKUP(O39,'[8]2012 личен състав ОТД'!$A:$AO,12,FALSE))</f>
        <v>ХОН</v>
      </c>
      <c r="R39" t="str">
        <f>IF(A39=""," ",VLOOKUP(A39,'Профилиращ лист'!A:B,2,FALSE))</f>
        <v>СПЕ</v>
      </c>
      <c r="T39">
        <f t="shared" ca="1" si="15"/>
        <v>2013</v>
      </c>
    </row>
    <row r="40" spans="1:28" ht="15" hidden="1" x14ac:dyDescent="0.2">
      <c r="A40" s="30" t="s">
        <v>228</v>
      </c>
      <c r="B40" s="31">
        <v>90</v>
      </c>
      <c r="C40" s="27">
        <v>75</v>
      </c>
      <c r="D40" s="27">
        <v>0</v>
      </c>
      <c r="E40" s="27">
        <v>0</v>
      </c>
      <c r="F40" s="27">
        <f t="shared" si="16"/>
        <v>75</v>
      </c>
      <c r="G40" s="27">
        <f t="shared" si="17"/>
        <v>135</v>
      </c>
      <c r="H40" s="27">
        <f t="shared" si="18"/>
        <v>210</v>
      </c>
      <c r="I40" s="27">
        <v>7</v>
      </c>
      <c r="J40" s="29" t="s">
        <v>12</v>
      </c>
      <c r="K40" s="75">
        <f t="shared" si="3"/>
        <v>630</v>
      </c>
      <c r="L40" s="76">
        <f t="shared" si="4"/>
        <v>0</v>
      </c>
      <c r="M40" s="76">
        <f t="shared" si="5"/>
        <v>630</v>
      </c>
      <c r="N40" t="e">
        <f>IF(O40=""," ",VLOOKUP(O40,'[8]2012 личен състав ОТД'!$A:$AO,2,FALSE))</f>
        <v>#N/A</v>
      </c>
      <c r="O40" t="e">
        <f>IF(A40=""," ",VLOOKUP(A40,'Български и испански език'!A:O,15,FALSE))</f>
        <v>#N/A</v>
      </c>
      <c r="P40" t="e">
        <f>IF(O40=""," ",VLOOKUP(O40,'[8]2012 личен състав ОТД'!$A:$AO,13,FALSE))</f>
        <v>#N/A</v>
      </c>
      <c r="Q40" t="e">
        <f>IF(O40=""," ",VLOOKUP(O40,'[8]2012 личен състав ОТД'!$A:$AO,12,FALSE))</f>
        <v>#N/A</v>
      </c>
      <c r="R40" t="e">
        <f>IF(A40=""," ",VLOOKUP(A40,'Профилиращ лист'!A:B,2,FALSE))</f>
        <v>#N/A</v>
      </c>
      <c r="T40" t="e">
        <f t="shared" ca="1" si="15"/>
        <v>#N/A</v>
      </c>
    </row>
    <row r="41" spans="1:28" ht="15" hidden="1" x14ac:dyDescent="0.2">
      <c r="A41" s="30" t="s">
        <v>42</v>
      </c>
      <c r="B41" s="31">
        <v>60</v>
      </c>
      <c r="C41" s="27">
        <v>30</v>
      </c>
      <c r="D41" s="27">
        <v>15</v>
      </c>
      <c r="E41" s="27">
        <v>15</v>
      </c>
      <c r="F41" s="27">
        <f t="shared" si="16"/>
        <v>0</v>
      </c>
      <c r="G41" s="27">
        <f t="shared" si="17"/>
        <v>120</v>
      </c>
      <c r="H41" s="27">
        <f t="shared" si="18"/>
        <v>150</v>
      </c>
      <c r="I41" s="27">
        <v>5</v>
      </c>
      <c r="J41" s="32" t="s">
        <v>14</v>
      </c>
      <c r="K41" s="75">
        <f t="shared" si="3"/>
        <v>60</v>
      </c>
      <c r="L41" s="76">
        <f t="shared" si="4"/>
        <v>30</v>
      </c>
      <c r="M41" s="76">
        <f t="shared" si="5"/>
        <v>30</v>
      </c>
      <c r="N41" t="str">
        <f>IF(O41=""," ",VLOOKUP(O41,'[8]2012 личен състав ОТД'!$A:$AO,2,FALSE))</f>
        <v>доц. д-р Николай Нейчев</v>
      </c>
      <c r="O41" t="str">
        <f>IF(A41=""," ",VLOOKUP(A41,'Български и испански език'!A:O,15,FALSE))</f>
        <v>нейчев</v>
      </c>
      <c r="P41">
        <f>IF(O41=""," ",VLOOKUP(O41,'[8]2012 личен състав ОТД'!$A:$AO,13,FALSE))</f>
        <v>1959</v>
      </c>
      <c r="Q41" t="str">
        <f>IF(O41=""," ",VLOOKUP(O41,'[8]2012 личен състав ОТД'!$A:$AO,12,FALSE))</f>
        <v>ОТД</v>
      </c>
      <c r="R41" t="str">
        <f>IF(A41=""," ",VLOOKUP(A41,'Профилиращ лист'!A:B,2,FALSE))</f>
        <v>ОФД</v>
      </c>
      <c r="T41">
        <f t="shared" ca="1" si="15"/>
        <v>54</v>
      </c>
    </row>
    <row r="42" spans="1:28" ht="15" hidden="1" x14ac:dyDescent="0.2">
      <c r="A42" s="30" t="s">
        <v>234</v>
      </c>
      <c r="B42" s="31">
        <v>30</v>
      </c>
      <c r="C42" s="27">
        <v>30</v>
      </c>
      <c r="D42" s="27">
        <v>15</v>
      </c>
      <c r="E42" s="27">
        <v>15</v>
      </c>
      <c r="F42" s="27">
        <f t="shared" si="16"/>
        <v>0</v>
      </c>
      <c r="G42" s="27">
        <f t="shared" si="17"/>
        <v>30</v>
      </c>
      <c r="H42" s="27">
        <f t="shared" si="18"/>
        <v>60</v>
      </c>
      <c r="I42" s="27">
        <v>2</v>
      </c>
      <c r="J42" s="32" t="s">
        <v>14</v>
      </c>
      <c r="K42" s="75">
        <f t="shared" si="3"/>
        <v>60</v>
      </c>
      <c r="L42" s="76">
        <f t="shared" si="4"/>
        <v>30</v>
      </c>
      <c r="M42" s="76">
        <f t="shared" si="5"/>
        <v>30</v>
      </c>
      <c r="N42" t="e">
        <f>IF(O42=""," ",VLOOKUP(O42,'[8]2012 личен състав ОТД'!$A:$AO,2,FALSE))</f>
        <v>#N/A</v>
      </c>
      <c r="O42" t="e">
        <f>IF(A42=""," ",VLOOKUP(A42,'Български и испански език'!A:O,15,FALSE))</f>
        <v>#N/A</v>
      </c>
      <c r="P42" t="e">
        <f>IF(O42=""," ",VLOOKUP(O42,'[8]2012 личен състав ОТД'!$A:$AO,13,FALSE))</f>
        <v>#N/A</v>
      </c>
      <c r="Q42" t="e">
        <f>IF(O42=""," ",VLOOKUP(O42,'[8]2012 личен състав ОТД'!$A:$AO,12,FALSE))</f>
        <v>#N/A</v>
      </c>
      <c r="R42" t="str">
        <f>IF(A42=""," ",VLOOKUP(A42,'Профилиращ лист'!A:B,2,FALSE))</f>
        <v>СПЕ</v>
      </c>
      <c r="T42" t="e">
        <f t="shared" ca="1" si="15"/>
        <v>#N/A</v>
      </c>
    </row>
    <row r="43" spans="1:28" ht="15" hidden="1" x14ac:dyDescent="0.2">
      <c r="A43" s="30" t="s">
        <v>44</v>
      </c>
      <c r="B43" s="31">
        <v>30</v>
      </c>
      <c r="C43" s="27">
        <v>45</v>
      </c>
      <c r="D43" s="27">
        <v>30</v>
      </c>
      <c r="E43" s="27">
        <v>15</v>
      </c>
      <c r="F43" s="27">
        <f t="shared" si="16"/>
        <v>0</v>
      </c>
      <c r="G43" s="27">
        <f t="shared" si="17"/>
        <v>15</v>
      </c>
      <c r="H43" s="27">
        <f t="shared" si="18"/>
        <v>60</v>
      </c>
      <c r="I43" s="27">
        <v>2</v>
      </c>
      <c r="J43" s="32" t="s">
        <v>14</v>
      </c>
      <c r="K43" s="75">
        <f t="shared" si="3"/>
        <v>90</v>
      </c>
      <c r="L43" s="76">
        <f t="shared" si="4"/>
        <v>60</v>
      </c>
      <c r="M43" s="76">
        <f t="shared" si="5"/>
        <v>30</v>
      </c>
      <c r="N43" t="str">
        <f>IF(O43=""," ",VLOOKUP(O43,'[8]2012 личен състав ОТД'!$A:$AO,2,FALSE))</f>
        <v xml:space="preserve">   </v>
      </c>
      <c r="O43">
        <f>IF(A43=""," ",VLOOKUP(A43,'Български и испански език'!A:O,15,FALSE))</f>
        <v>0</v>
      </c>
      <c r="P43">
        <f>IF(O43=""," ",VLOOKUP(O43,'[8]2012 личен състав ОТД'!$A:$AO,13,FALSE))</f>
        <v>0</v>
      </c>
      <c r="Q43">
        <f>IF(O43=""," ",VLOOKUP(O43,'[8]2012 личен състав ОТД'!$A:$AO,12,FALSE))</f>
        <v>0</v>
      </c>
      <c r="R43" t="str">
        <f>IF(A43=""," ",VLOOKUP(A43,'Профилиращ лист'!A:B,2,FALSE))</f>
        <v>СПЕ</v>
      </c>
      <c r="T43">
        <f t="shared" ca="1" si="15"/>
        <v>2013</v>
      </c>
      <c r="AB43" t="s">
        <v>574</v>
      </c>
    </row>
    <row r="44" spans="1:28" ht="15" x14ac:dyDescent="0.2">
      <c r="A44" s="30" t="s">
        <v>45</v>
      </c>
      <c r="B44" s="31">
        <v>30</v>
      </c>
      <c r="C44" s="27">
        <v>15</v>
      </c>
      <c r="D44" s="27">
        <v>15</v>
      </c>
      <c r="E44" s="27">
        <v>0</v>
      </c>
      <c r="F44" s="27">
        <f t="shared" si="16"/>
        <v>0</v>
      </c>
      <c r="G44" s="27">
        <f t="shared" si="17"/>
        <v>45</v>
      </c>
      <c r="H44" s="27">
        <f t="shared" si="18"/>
        <v>60</v>
      </c>
      <c r="I44" s="27">
        <v>2</v>
      </c>
      <c r="J44" s="29" t="s">
        <v>12</v>
      </c>
      <c r="K44" s="75">
        <f t="shared" si="3"/>
        <v>15</v>
      </c>
      <c r="L44" s="76">
        <f t="shared" si="4"/>
        <v>15</v>
      </c>
      <c r="M44" s="76">
        <f t="shared" si="5"/>
        <v>0</v>
      </c>
      <c r="N44" t="str">
        <f>IF(O44=""," ",VLOOKUP(O44,'[8]2012 личен състав ОТД'!$A:$AO,2,FALSE))</f>
        <v>гл. ас.  Райна Петрова</v>
      </c>
      <c r="O44" t="str">
        <f>IF(A44=""," ",VLOOKUP(A44,'Български и испански език'!A:O,15,FALSE))</f>
        <v>петрова</v>
      </c>
      <c r="P44">
        <f>IF(O44=""," ",VLOOKUP(O44,'[8]2012 личен състав ОТД'!$A:$AO,13,FALSE))</f>
        <v>1978</v>
      </c>
      <c r="Q44" t="str">
        <f>IF(O44=""," ",VLOOKUP(O44,'[8]2012 личен състав ОТД'!$A:$AO,12,FALSE))</f>
        <v>ОТД</v>
      </c>
      <c r="R44" t="str">
        <f>IF(A44=""," ",VLOOKUP(A44,'Профилиращ лист'!A:B,2,FALSE))</f>
        <v>ОФД</v>
      </c>
      <c r="T44">
        <f t="shared" ca="1" si="15"/>
        <v>35</v>
      </c>
    </row>
    <row r="45" spans="1:28" ht="15" hidden="1" x14ac:dyDescent="0.2">
      <c r="A45" s="30"/>
      <c r="B45" s="33">
        <f t="shared" ref="B45:I45" si="19">SUM(B36:B44)</f>
        <v>375</v>
      </c>
      <c r="C45" s="33">
        <f t="shared" si="19"/>
        <v>360</v>
      </c>
      <c r="D45" s="33">
        <f t="shared" si="19"/>
        <v>180</v>
      </c>
      <c r="E45" s="33">
        <f t="shared" si="19"/>
        <v>105</v>
      </c>
      <c r="F45" s="33">
        <f t="shared" si="19"/>
        <v>75</v>
      </c>
      <c r="G45" s="33">
        <f t="shared" si="19"/>
        <v>570</v>
      </c>
      <c r="H45" s="33">
        <f t="shared" si="19"/>
        <v>930</v>
      </c>
      <c r="I45" s="33">
        <f t="shared" si="19"/>
        <v>31</v>
      </c>
      <c r="J45" s="29"/>
      <c r="K45" s="75">
        <f t="shared" si="3"/>
        <v>0</v>
      </c>
      <c r="L45" s="76">
        <f t="shared" si="4"/>
        <v>0</v>
      </c>
      <c r="M45" s="76">
        <f t="shared" si="5"/>
        <v>0</v>
      </c>
      <c r="N45" t="e">
        <f>IF(O45=""," ",VLOOKUP(O45,'[8]2012 личен състав ОТД'!$A:$AO,2,FALSE))</f>
        <v>#N/A</v>
      </c>
      <c r="O45" t="str">
        <f>IF(A45=""," ",VLOOKUP(A45,'Български и испански език'!A:O,15,FALSE))</f>
        <v xml:space="preserve"> </v>
      </c>
      <c r="P45" t="e">
        <f>IF(O45=""," ",VLOOKUP(O45,'[8]2012 личен състав ОТД'!$A:$AO,13,FALSE))</f>
        <v>#N/A</v>
      </c>
      <c r="Q45" t="e">
        <f>IF(O45=""," ",VLOOKUP(O45,'[8]2012 личен състав ОТД'!$A:$AO,12,FALSE))</f>
        <v>#N/A</v>
      </c>
      <c r="R45" t="str">
        <f>IF(A45=""," ",VLOOKUP(A45,'Профилиращ лист'!A:B,2,FALSE))</f>
        <v xml:space="preserve"> </v>
      </c>
      <c r="T45" t="e">
        <f t="shared" ca="1" si="15"/>
        <v>#N/A</v>
      </c>
    </row>
    <row r="46" spans="1:28" ht="15" hidden="1" x14ac:dyDescent="0.2">
      <c r="A46" s="25" t="s">
        <v>0</v>
      </c>
      <c r="B46" s="26" t="s">
        <v>1</v>
      </c>
      <c r="C46" s="34" t="s">
        <v>2</v>
      </c>
      <c r="D46" s="34" t="s">
        <v>3</v>
      </c>
      <c r="E46" s="34" t="s">
        <v>4</v>
      </c>
      <c r="F46" s="34" t="s">
        <v>5</v>
      </c>
      <c r="G46" s="34" t="s">
        <v>6</v>
      </c>
      <c r="H46" s="34" t="s">
        <v>7</v>
      </c>
      <c r="I46" s="34" t="s">
        <v>8</v>
      </c>
      <c r="J46" s="35" t="s">
        <v>9</v>
      </c>
      <c r="K46" s="75">
        <f t="shared" si="3"/>
        <v>0</v>
      </c>
      <c r="L46" s="76">
        <f t="shared" si="4"/>
        <v>0</v>
      </c>
      <c r="M46" s="76">
        <f t="shared" si="5"/>
        <v>0</v>
      </c>
      <c r="N46" t="e">
        <f>IF(O46=""," ",VLOOKUP(O46,'[8]2012 личен състав ОТД'!$A:$AO,2,FALSE))</f>
        <v>#N/A</v>
      </c>
      <c r="O46" t="e">
        <f>IF(A46=""," ",VLOOKUP(A46,'Български и испански език'!A:O,15,FALSE))</f>
        <v>#N/A</v>
      </c>
      <c r="P46" t="e">
        <f>IF(O46=""," ",VLOOKUP(O46,'[8]2012 личен състав ОТД'!$A:$AO,13,FALSE))</f>
        <v>#N/A</v>
      </c>
      <c r="Q46" t="e">
        <f>IF(O46=""," ",VLOOKUP(O46,'[8]2012 личен състав ОТД'!$A:$AO,12,FALSE))</f>
        <v>#N/A</v>
      </c>
      <c r="R46">
        <f>IF(A46=""," ",VLOOKUP(A46,'Профилиращ лист'!A:B,2,FALSE))</f>
        <v>0</v>
      </c>
      <c r="T46" t="e">
        <f t="shared" ca="1" si="15"/>
        <v>#N/A</v>
      </c>
    </row>
    <row r="47" spans="1:28" ht="15" hidden="1" x14ac:dyDescent="0.2">
      <c r="A47" s="25" t="s">
        <v>46</v>
      </c>
      <c r="B47" s="26"/>
      <c r="C47" s="27"/>
      <c r="D47" s="27"/>
      <c r="E47" s="27"/>
      <c r="F47" s="27"/>
      <c r="G47" s="27"/>
      <c r="H47" s="27"/>
      <c r="I47" s="28"/>
      <c r="J47" s="29"/>
      <c r="K47" s="75">
        <f t="shared" si="3"/>
        <v>0</v>
      </c>
      <c r="L47" s="76">
        <f t="shared" si="4"/>
        <v>0</v>
      </c>
      <c r="M47" s="76">
        <f t="shared" si="5"/>
        <v>0</v>
      </c>
      <c r="N47" t="str">
        <f>IF(O47=""," ",VLOOKUP(O47,'[8]2012 личен състав ОТД'!$A:$AO,2,FALSE))</f>
        <v xml:space="preserve">   </v>
      </c>
      <c r="O47">
        <f>IF(A47=""," ",VLOOKUP(A47,'Български и испански език'!A:O,15,FALSE))</f>
        <v>0</v>
      </c>
      <c r="P47">
        <f>IF(O47=""," ",VLOOKUP(O47,'[8]2012 личен състав ОТД'!$A:$AO,13,FALSE))</f>
        <v>0</v>
      </c>
      <c r="Q47">
        <f>IF(O47=""," ",VLOOKUP(O47,'[8]2012 личен състав ОТД'!$A:$AO,12,FALSE))</f>
        <v>0</v>
      </c>
      <c r="R47" t="e">
        <f>IF(A47=""," ",VLOOKUP(A47,'Профилиращ лист'!A:B,2,FALSE))</f>
        <v>#N/A</v>
      </c>
      <c r="T47">
        <f t="shared" ca="1" si="15"/>
        <v>2013</v>
      </c>
    </row>
    <row r="48" spans="1:28" ht="15" x14ac:dyDescent="0.2">
      <c r="A48" s="30" t="s">
        <v>39</v>
      </c>
      <c r="B48" s="31">
        <v>30</v>
      </c>
      <c r="C48" s="27">
        <v>60</v>
      </c>
      <c r="D48" s="27">
        <v>30</v>
      </c>
      <c r="E48" s="27">
        <v>30</v>
      </c>
      <c r="F48" s="27">
        <f t="shared" ref="F48:F57" si="20">C48-D48-E48</f>
        <v>0</v>
      </c>
      <c r="G48" s="27">
        <f t="shared" ref="G48:G57" si="21">H48-C48</f>
        <v>60</v>
      </c>
      <c r="H48" s="27">
        <f t="shared" ref="H48:H57" si="22">I48*30</f>
        <v>120</v>
      </c>
      <c r="I48" s="27">
        <v>4</v>
      </c>
      <c r="J48" s="29" t="s">
        <v>12</v>
      </c>
      <c r="K48" s="75">
        <f t="shared" si="3"/>
        <v>105</v>
      </c>
      <c r="L48" s="76">
        <f t="shared" si="4"/>
        <v>60</v>
      </c>
      <c r="M48" s="76">
        <f t="shared" si="5"/>
        <v>45</v>
      </c>
      <c r="N48" t="str">
        <f>IF(O48=""," ",VLOOKUP(O48,'[8]2012 личен състав ОТД'!$A:$AO,2,FALSE))</f>
        <v>доц. д-р Светла Черпокова-Захариева</v>
      </c>
      <c r="O48" t="s">
        <v>472</v>
      </c>
      <c r="P48">
        <f>IF(O48=""," ",VLOOKUP(O48,'[8]2012 личен състав ОТД'!$A:$AO,13,FALSE))</f>
        <v>1967</v>
      </c>
      <c r="Q48" t="str">
        <f>IF(O48=""," ",VLOOKUP(O48,'[8]2012 личен състав ОТД'!$A:$AO,12,FALSE))</f>
        <v>ОТД</v>
      </c>
      <c r="R48" t="str">
        <f>IF(A48=""," ",VLOOKUP(A48,'Профилиращ лист'!A:B,2,FALSE))</f>
        <v>СПЕ</v>
      </c>
      <c r="T48">
        <f t="shared" ca="1" si="15"/>
        <v>46</v>
      </c>
    </row>
    <row r="49" spans="1:20" ht="15" hidden="1" x14ac:dyDescent="0.2">
      <c r="A49" s="30" t="s">
        <v>47</v>
      </c>
      <c r="B49" s="31">
        <v>30</v>
      </c>
      <c r="C49" s="27">
        <v>30</v>
      </c>
      <c r="D49" s="27">
        <v>30</v>
      </c>
      <c r="E49" s="27">
        <v>0</v>
      </c>
      <c r="F49" s="27">
        <f t="shared" si="20"/>
        <v>0</v>
      </c>
      <c r="G49" s="27">
        <f t="shared" si="21"/>
        <v>30</v>
      </c>
      <c r="H49" s="27">
        <f t="shared" si="22"/>
        <v>60</v>
      </c>
      <c r="I49" s="27">
        <v>2</v>
      </c>
      <c r="J49" s="32" t="s">
        <v>14</v>
      </c>
      <c r="K49" s="75">
        <f t="shared" si="3"/>
        <v>90</v>
      </c>
      <c r="L49" s="76">
        <f t="shared" si="4"/>
        <v>60</v>
      </c>
      <c r="M49" s="76">
        <f t="shared" si="5"/>
        <v>30</v>
      </c>
      <c r="N49" t="str">
        <f>IF(O49=""," ",VLOOKUP(O49,'[8]2012 личен състав ОТД'!$A:$AO,2,FALSE))</f>
        <v xml:space="preserve">   </v>
      </c>
      <c r="O49">
        <f>IF(A49=""," ",VLOOKUP(A49,'Български и испански език'!A:O,15,FALSE))</f>
        <v>0</v>
      </c>
      <c r="P49">
        <f>IF(O49=""," ",VLOOKUP(O49,'[8]2012 личен състав ОТД'!$A:$AO,13,FALSE))</f>
        <v>0</v>
      </c>
      <c r="Q49">
        <f>IF(O49=""," ",VLOOKUP(O49,'[8]2012 личен състав ОТД'!$A:$AO,12,FALSE))</f>
        <v>0</v>
      </c>
      <c r="R49" t="str">
        <f>IF(A49=""," ",VLOOKUP(A49,'Профилиращ лист'!A:B,2,FALSE))</f>
        <v>СПЕ</v>
      </c>
      <c r="T49">
        <f t="shared" ca="1" si="15"/>
        <v>2013</v>
      </c>
    </row>
    <row r="50" spans="1:20" ht="15" hidden="1" x14ac:dyDescent="0.2">
      <c r="A50" s="30" t="s">
        <v>235</v>
      </c>
      <c r="B50" s="31">
        <v>45</v>
      </c>
      <c r="C50" s="27">
        <v>15</v>
      </c>
      <c r="D50" s="27">
        <v>15</v>
      </c>
      <c r="E50" s="27">
        <v>0</v>
      </c>
      <c r="F50" s="27">
        <f t="shared" si="20"/>
        <v>0</v>
      </c>
      <c r="G50" s="27">
        <f t="shared" si="21"/>
        <v>45</v>
      </c>
      <c r="H50" s="27">
        <f t="shared" si="22"/>
        <v>60</v>
      </c>
      <c r="I50" s="27">
        <v>2</v>
      </c>
      <c r="J50" s="32" t="s">
        <v>14</v>
      </c>
      <c r="K50" s="75">
        <f t="shared" si="3"/>
        <v>30</v>
      </c>
      <c r="L50" s="76">
        <f t="shared" si="4"/>
        <v>30</v>
      </c>
      <c r="M50" s="76">
        <f t="shared" si="5"/>
        <v>0</v>
      </c>
      <c r="N50" t="str">
        <f>IF(O50=""," ",VLOOKUP(O50,'[8]2012 личен състав ОТД'!$A:$AO,2,FALSE))</f>
        <v xml:space="preserve"> </v>
      </c>
      <c r="P50" t="str">
        <f>IF(O50=""," ",VLOOKUP(O50,'[8]2012 личен състав ОТД'!$A:$AO,13,FALSE))</f>
        <v xml:space="preserve"> </v>
      </c>
      <c r="Q50" t="str">
        <f>IF(O50=""," ",VLOOKUP(O50,'[8]2012 личен състав ОТД'!$A:$AO,12,FALSE))</f>
        <v xml:space="preserve"> </v>
      </c>
      <c r="R50" t="str">
        <f>IF(A50=""," ",VLOOKUP(A50,'Профилиращ лист'!A:B,2,FALSE))</f>
        <v>СПЕ</v>
      </c>
      <c r="T50" t="e">
        <f t="shared" ca="1" si="15"/>
        <v>#VALUE!</v>
      </c>
    </row>
    <row r="51" spans="1:20" ht="15" hidden="1" x14ac:dyDescent="0.2">
      <c r="A51" s="30" t="s">
        <v>49</v>
      </c>
      <c r="B51" s="31">
        <v>45</v>
      </c>
      <c r="C51" s="27">
        <v>30</v>
      </c>
      <c r="D51" s="27">
        <v>30</v>
      </c>
      <c r="E51" s="27">
        <v>0</v>
      </c>
      <c r="F51" s="27">
        <f t="shared" si="20"/>
        <v>0</v>
      </c>
      <c r="G51" s="27">
        <f t="shared" si="21"/>
        <v>30</v>
      </c>
      <c r="H51" s="27">
        <f t="shared" si="22"/>
        <v>60</v>
      </c>
      <c r="I51" s="27">
        <v>2</v>
      </c>
      <c r="J51" s="32" t="s">
        <v>14</v>
      </c>
      <c r="K51" s="75">
        <f t="shared" si="3"/>
        <v>75</v>
      </c>
      <c r="L51" s="76">
        <f t="shared" si="4"/>
        <v>60</v>
      </c>
      <c r="M51" s="76">
        <f t="shared" si="5"/>
        <v>15</v>
      </c>
      <c r="N51" t="str">
        <f>IF(O51=""," ",VLOOKUP(O51,'[8]2012 личен състав ОТД'!$A:$AO,2,FALSE))</f>
        <v xml:space="preserve">   </v>
      </c>
      <c r="O51">
        <f>IF(A51=""," ",VLOOKUP(A51,'Български и испански език'!A:O,15,FALSE))</f>
        <v>0</v>
      </c>
      <c r="P51">
        <f>IF(O51=""," ",VLOOKUP(O51,'[8]2012 личен състав ОТД'!$A:$AO,13,FALSE))</f>
        <v>0</v>
      </c>
      <c r="Q51">
        <f>IF(O51=""," ",VLOOKUP(O51,'[8]2012 личен състав ОТД'!$A:$AO,12,FALSE))</f>
        <v>0</v>
      </c>
      <c r="R51" t="str">
        <f>IF(A51=""," ",VLOOKUP(A51,'Профилиращ лист'!A:B,2,FALSE))</f>
        <v>ОФД</v>
      </c>
      <c r="T51">
        <f t="shared" ca="1" si="15"/>
        <v>2013</v>
      </c>
    </row>
    <row r="52" spans="1:20" ht="15" x14ac:dyDescent="0.2">
      <c r="A52" s="30" t="s">
        <v>42</v>
      </c>
      <c r="B52" s="31">
        <v>60</v>
      </c>
      <c r="C52" s="27">
        <v>30</v>
      </c>
      <c r="D52" s="27">
        <v>15</v>
      </c>
      <c r="E52" s="27">
        <v>15</v>
      </c>
      <c r="F52" s="27">
        <f t="shared" si="20"/>
        <v>0</v>
      </c>
      <c r="G52" s="27">
        <f t="shared" si="21"/>
        <v>30</v>
      </c>
      <c r="H52" s="27">
        <f t="shared" si="22"/>
        <v>60</v>
      </c>
      <c r="I52" s="27">
        <v>2</v>
      </c>
      <c r="J52" s="32" t="s">
        <v>12</v>
      </c>
      <c r="K52" s="75">
        <f t="shared" si="3"/>
        <v>60</v>
      </c>
      <c r="L52" s="76">
        <f t="shared" si="4"/>
        <v>30</v>
      </c>
      <c r="M52" s="76">
        <f t="shared" si="5"/>
        <v>30</v>
      </c>
      <c r="N52" t="str">
        <f>IF(O52=""," ",VLOOKUP(O52,'[8]2012 личен състав ОТД'!$A:$AO,2,FALSE))</f>
        <v>доц. д-р Николай Нейчев</v>
      </c>
      <c r="O52" t="str">
        <f>IF(A52=""," ",VLOOKUP(A52,'Български и испански език'!A:O,15,FALSE))</f>
        <v>нейчев</v>
      </c>
      <c r="P52">
        <f>IF(O52=""," ",VLOOKUP(O52,'[8]2012 личен състав ОТД'!$A:$AO,13,FALSE))</f>
        <v>1959</v>
      </c>
      <c r="Q52" t="str">
        <f>IF(O52=""," ",VLOOKUP(O52,'[8]2012 личен състав ОТД'!$A:$AO,12,FALSE))</f>
        <v>ОТД</v>
      </c>
      <c r="R52" t="str">
        <f>IF(A52=""," ",VLOOKUP(A52,'Профилиращ лист'!A:B,2,FALSE))</f>
        <v>ОФД</v>
      </c>
      <c r="T52">
        <f t="shared" ca="1" si="15"/>
        <v>54</v>
      </c>
    </row>
    <row r="53" spans="1:20" ht="15" hidden="1" x14ac:dyDescent="0.2">
      <c r="A53" s="30" t="s">
        <v>228</v>
      </c>
      <c r="B53" s="31">
        <v>90</v>
      </c>
      <c r="C53" s="27">
        <v>105</v>
      </c>
      <c r="D53" s="27">
        <v>0</v>
      </c>
      <c r="E53" s="27">
        <v>0</v>
      </c>
      <c r="F53" s="27">
        <f t="shared" si="20"/>
        <v>105</v>
      </c>
      <c r="G53" s="27">
        <f t="shared" si="21"/>
        <v>105</v>
      </c>
      <c r="H53" s="27">
        <f t="shared" si="22"/>
        <v>210</v>
      </c>
      <c r="I53" s="27">
        <v>7</v>
      </c>
      <c r="J53" s="32" t="s">
        <v>14</v>
      </c>
      <c r="K53" s="75">
        <f t="shared" si="3"/>
        <v>630</v>
      </c>
      <c r="L53" s="76">
        <f t="shared" si="4"/>
        <v>0</v>
      </c>
      <c r="M53" s="76">
        <f t="shared" si="5"/>
        <v>630</v>
      </c>
      <c r="N53" t="e">
        <f>IF(O53=""," ",VLOOKUP(O53,'[8]2012 личен състав ОТД'!$A:$AO,2,FALSE))</f>
        <v>#N/A</v>
      </c>
      <c r="O53" t="e">
        <f>IF(A53=""," ",VLOOKUP(A53,'Български и испански език'!A:O,15,FALSE))</f>
        <v>#N/A</v>
      </c>
      <c r="P53" t="e">
        <f>IF(O53=""," ",VLOOKUP(O53,'[8]2012 личен състав ОТД'!$A:$AO,13,FALSE))</f>
        <v>#N/A</v>
      </c>
      <c r="Q53" t="e">
        <f>IF(O53=""," ",VLOOKUP(O53,'[8]2012 личен състав ОТД'!$A:$AO,12,FALSE))</f>
        <v>#N/A</v>
      </c>
      <c r="R53" t="e">
        <f>IF(A53=""," ",VLOOKUP(A53,'Профилиращ лист'!A:B,2,FALSE))</f>
        <v>#N/A</v>
      </c>
      <c r="T53" t="e">
        <f t="shared" ca="1" si="15"/>
        <v>#N/A</v>
      </c>
    </row>
    <row r="54" spans="1:20" ht="15" x14ac:dyDescent="0.2">
      <c r="A54" s="30" t="s">
        <v>58</v>
      </c>
      <c r="B54" s="31">
        <v>30</v>
      </c>
      <c r="C54" s="27">
        <v>15</v>
      </c>
      <c r="D54" s="27">
        <v>15</v>
      </c>
      <c r="E54" s="27">
        <v>0</v>
      </c>
      <c r="F54" s="27">
        <f t="shared" si="20"/>
        <v>0</v>
      </c>
      <c r="G54" s="27">
        <f t="shared" si="21"/>
        <v>45</v>
      </c>
      <c r="H54" s="27">
        <f t="shared" si="22"/>
        <v>60</v>
      </c>
      <c r="I54" s="27">
        <v>2</v>
      </c>
      <c r="J54" s="29" t="s">
        <v>12</v>
      </c>
      <c r="K54" s="75">
        <f t="shared" si="3"/>
        <v>15</v>
      </c>
      <c r="L54" s="76">
        <f t="shared" si="4"/>
        <v>15</v>
      </c>
      <c r="M54" s="76">
        <f t="shared" si="5"/>
        <v>0</v>
      </c>
      <c r="N54" t="str">
        <f>IF(O54=""," ",VLOOKUP(O54,'[8]2012 личен състав ОТД'!$A:$AO,2,FALSE))</f>
        <v>доц. д-р Татяна Ичевска</v>
      </c>
      <c r="O54" t="s">
        <v>480</v>
      </c>
      <c r="P54">
        <f>IF(O54=""," ",VLOOKUP(O54,'[8]2012 личен състав ОТД'!$A:$AO,13,FALSE))</f>
        <v>1970</v>
      </c>
      <c r="Q54" t="str">
        <f>IF(O54=""," ",VLOOKUP(O54,'[8]2012 личен състав ОТД'!$A:$AO,12,FALSE))</f>
        <v>ОТД</v>
      </c>
      <c r="R54" t="str">
        <f>IF(A54=""," ",VLOOKUP(A54,'Профилиращ лист'!A:B,2,FALSE))</f>
        <v>ИЗБ</v>
      </c>
      <c r="T54">
        <f t="shared" ca="1" si="15"/>
        <v>43</v>
      </c>
    </row>
    <row r="55" spans="1:20" ht="15" hidden="1" x14ac:dyDescent="0.2">
      <c r="A55" s="30" t="s">
        <v>236</v>
      </c>
      <c r="B55" s="31">
        <v>30</v>
      </c>
      <c r="C55" s="27">
        <v>30</v>
      </c>
      <c r="D55" s="27">
        <v>15</v>
      </c>
      <c r="E55" s="27">
        <v>15</v>
      </c>
      <c r="F55" s="27">
        <f t="shared" si="20"/>
        <v>0</v>
      </c>
      <c r="G55" s="27">
        <f t="shared" si="21"/>
        <v>60</v>
      </c>
      <c r="H55" s="27">
        <f t="shared" si="22"/>
        <v>90</v>
      </c>
      <c r="I55" s="27">
        <v>3</v>
      </c>
      <c r="J55" s="32" t="s">
        <v>14</v>
      </c>
      <c r="K55" s="75">
        <f t="shared" si="3"/>
        <v>60</v>
      </c>
      <c r="L55" s="76">
        <f t="shared" si="4"/>
        <v>30</v>
      </c>
      <c r="M55" s="76">
        <f t="shared" si="5"/>
        <v>30</v>
      </c>
      <c r="N55" t="e">
        <f>IF(O55=""," ",VLOOKUP(O55,'[8]2012 личен състав ОТД'!$A:$AO,2,FALSE))</f>
        <v>#N/A</v>
      </c>
      <c r="O55" t="e">
        <f>IF(A55=""," ",VLOOKUP(A55,'Български и испански език'!A:O,15,FALSE))</f>
        <v>#N/A</v>
      </c>
      <c r="P55" t="e">
        <f>IF(O55=""," ",VLOOKUP(O55,'[8]2012 личен състав ОТД'!$A:$AO,13,FALSE))</f>
        <v>#N/A</v>
      </c>
      <c r="Q55" t="e">
        <f>IF(O55=""," ",VLOOKUP(O55,'[8]2012 личен състав ОТД'!$A:$AO,12,FALSE))</f>
        <v>#N/A</v>
      </c>
      <c r="R55" t="str">
        <f>IF(A55=""," ",VLOOKUP(A55,'Профилиращ лист'!A:B,2,FALSE))</f>
        <v>СПЕ</v>
      </c>
      <c r="T55" t="e">
        <f t="shared" ca="1" si="15"/>
        <v>#N/A</v>
      </c>
    </row>
    <row r="56" spans="1:20" ht="15" x14ac:dyDescent="0.2">
      <c r="A56" s="30" t="s">
        <v>234</v>
      </c>
      <c r="B56" s="31">
        <v>30</v>
      </c>
      <c r="C56" s="27">
        <v>30</v>
      </c>
      <c r="D56" s="27">
        <v>15</v>
      </c>
      <c r="E56" s="27">
        <v>15</v>
      </c>
      <c r="F56" s="27">
        <f t="shared" si="20"/>
        <v>0</v>
      </c>
      <c r="G56" s="27">
        <f t="shared" si="21"/>
        <v>60</v>
      </c>
      <c r="H56" s="27">
        <f t="shared" si="22"/>
        <v>90</v>
      </c>
      <c r="I56" s="27">
        <v>3</v>
      </c>
      <c r="J56" s="29" t="s">
        <v>12</v>
      </c>
      <c r="K56" s="75">
        <f t="shared" si="3"/>
        <v>60</v>
      </c>
      <c r="L56" s="76">
        <f t="shared" si="4"/>
        <v>30</v>
      </c>
      <c r="M56" s="76">
        <f t="shared" si="5"/>
        <v>30</v>
      </c>
      <c r="N56" t="str">
        <f>IF(O56=""," ",VLOOKUP(O56,'[8]2012 личен състав ОТД'!$A:$AO,2,FALSE))</f>
        <v>гл. ас. д-р Дария Карапеткова</v>
      </c>
      <c r="O56" t="s">
        <v>526</v>
      </c>
      <c r="P56">
        <f>IF(O56=""," ",VLOOKUP(O56,'[8]2012 личен състав ОТД'!$A:$AO,13,FALSE))</f>
        <v>0</v>
      </c>
      <c r="Q56" t="str">
        <f>IF(O56=""," ",VLOOKUP(O56,'[8]2012 личен състав ОТД'!$A:$AO,12,FALSE))</f>
        <v>ХОН</v>
      </c>
      <c r="R56" t="str">
        <f>IF(A56=""," ",VLOOKUP(A56,'Профилиращ лист'!A:B,2,FALSE))</f>
        <v>СПЕ</v>
      </c>
      <c r="T56">
        <f t="shared" ca="1" si="15"/>
        <v>2013</v>
      </c>
    </row>
    <row r="57" spans="1:20" ht="15" x14ac:dyDescent="0.2">
      <c r="A57" s="30" t="s">
        <v>44</v>
      </c>
      <c r="B57" s="31">
        <v>45</v>
      </c>
      <c r="C57" s="27">
        <v>45</v>
      </c>
      <c r="D57" s="27">
        <v>30</v>
      </c>
      <c r="E57" s="27">
        <v>15</v>
      </c>
      <c r="F57" s="27">
        <f t="shared" si="20"/>
        <v>0</v>
      </c>
      <c r="G57" s="27">
        <f t="shared" si="21"/>
        <v>45</v>
      </c>
      <c r="H57" s="27">
        <f t="shared" si="22"/>
        <v>90</v>
      </c>
      <c r="I57" s="27">
        <v>3</v>
      </c>
      <c r="J57" s="29" t="s">
        <v>12</v>
      </c>
      <c r="K57" s="75">
        <f t="shared" si="3"/>
        <v>90</v>
      </c>
      <c r="L57" s="76">
        <f t="shared" si="4"/>
        <v>60</v>
      </c>
      <c r="M57" s="76">
        <f t="shared" si="5"/>
        <v>30</v>
      </c>
      <c r="N57" t="str">
        <f>IF(O57=""," ",VLOOKUP(O57,'[8]2012 личен състав ОТД'!$A:$AO,2,FALSE))</f>
        <v>доц. д-р Константин Куцаров</v>
      </c>
      <c r="O57" t="s">
        <v>491</v>
      </c>
      <c r="P57">
        <f>IF(O57=""," ",VLOOKUP(O57,'[8]2012 личен състав ОТД'!$A:$AO,13,FALSE))</f>
        <v>1968</v>
      </c>
      <c r="Q57" t="str">
        <f>IF(O57=""," ",VLOOKUP(O57,'[8]2012 личен състав ОТД'!$A:$AO,12,FALSE))</f>
        <v>ОТД</v>
      </c>
      <c r="R57" t="str">
        <f>IF(A57=""," ",VLOOKUP(A57,'Профилиращ лист'!A:B,2,FALSE))</f>
        <v>СПЕ</v>
      </c>
      <c r="T57">
        <f t="shared" ca="1" si="15"/>
        <v>45</v>
      </c>
    </row>
    <row r="58" spans="1:20" ht="15" hidden="1" x14ac:dyDescent="0.2">
      <c r="A58" s="30"/>
      <c r="B58" s="33">
        <f t="shared" ref="B58:I58" si="23">SUM(B48:B57)</f>
        <v>435</v>
      </c>
      <c r="C58" s="33">
        <f t="shared" si="23"/>
        <v>390</v>
      </c>
      <c r="D58" s="33">
        <f t="shared" si="23"/>
        <v>195</v>
      </c>
      <c r="E58" s="33">
        <f t="shared" si="23"/>
        <v>90</v>
      </c>
      <c r="F58" s="33">
        <f t="shared" si="23"/>
        <v>105</v>
      </c>
      <c r="G58" s="33">
        <f t="shared" si="23"/>
        <v>510</v>
      </c>
      <c r="H58" s="33">
        <f t="shared" si="23"/>
        <v>900</v>
      </c>
      <c r="I58" s="33">
        <f t="shared" si="23"/>
        <v>30</v>
      </c>
      <c r="J58" s="29"/>
      <c r="K58" s="75">
        <f t="shared" si="3"/>
        <v>0</v>
      </c>
      <c r="L58" s="76">
        <f t="shared" si="4"/>
        <v>0</v>
      </c>
      <c r="M58" s="76">
        <f t="shared" si="5"/>
        <v>0</v>
      </c>
      <c r="N58" t="e">
        <f>IF(O58=""," ",VLOOKUP(O58,'[8]2012 личен състав ОТД'!$A:$AO,2,FALSE))</f>
        <v>#N/A</v>
      </c>
      <c r="O58" t="str">
        <f>IF(A58=""," ",VLOOKUP(A58,'Български и испански език'!A:O,15,FALSE))</f>
        <v xml:space="preserve"> </v>
      </c>
      <c r="P58" t="e">
        <f>IF(O58=""," ",VLOOKUP(O58,'[8]2012 личен състав ОТД'!$A:$AO,13,FALSE))</f>
        <v>#N/A</v>
      </c>
      <c r="Q58" t="e">
        <f>IF(O58=""," ",VLOOKUP(O58,'[8]2012 личен състав ОТД'!$A:$AO,12,FALSE))</f>
        <v>#N/A</v>
      </c>
      <c r="R58" t="str">
        <f>IF(A58=""," ",VLOOKUP(A58,'Профилиращ лист'!A:B,2,FALSE))</f>
        <v xml:space="preserve"> </v>
      </c>
      <c r="T58" t="e">
        <f t="shared" ca="1" si="15"/>
        <v>#N/A</v>
      </c>
    </row>
    <row r="59" spans="1:20" ht="15" hidden="1" x14ac:dyDescent="0.2">
      <c r="A59" s="25" t="s">
        <v>51</v>
      </c>
      <c r="B59" s="26"/>
      <c r="C59" s="27"/>
      <c r="D59" s="27"/>
      <c r="E59" s="27"/>
      <c r="F59" s="27"/>
      <c r="G59" s="27"/>
      <c r="H59" s="27"/>
      <c r="I59" s="28"/>
      <c r="J59" s="29"/>
      <c r="K59" s="75">
        <f t="shared" si="3"/>
        <v>0</v>
      </c>
      <c r="L59" s="76">
        <f t="shared" si="4"/>
        <v>0</v>
      </c>
      <c r="M59" s="76">
        <f t="shared" si="5"/>
        <v>0</v>
      </c>
      <c r="N59" t="str">
        <f>IF(O59=""," ",VLOOKUP(O59,'[8]2012 личен състав ОТД'!$A:$AO,2,FALSE))</f>
        <v xml:space="preserve">   </v>
      </c>
      <c r="O59">
        <f>IF(A59=""," ",VLOOKUP(A59,'Български и испански език'!A:O,15,FALSE))</f>
        <v>0</v>
      </c>
      <c r="P59">
        <f>IF(O59=""," ",VLOOKUP(O59,'[8]2012 личен състав ОТД'!$A:$AO,13,FALSE))</f>
        <v>0</v>
      </c>
      <c r="Q59">
        <f>IF(O59=""," ",VLOOKUP(O59,'[8]2012 личен състав ОТД'!$A:$AO,12,FALSE))</f>
        <v>0</v>
      </c>
      <c r="R59" t="e">
        <f>IF(A59=""," ",VLOOKUP(A59,'Профилиращ лист'!A:B,2,FALSE))</f>
        <v>#N/A</v>
      </c>
      <c r="T59">
        <f t="shared" ca="1" si="15"/>
        <v>2013</v>
      </c>
    </row>
    <row r="60" spans="1:20" ht="15" x14ac:dyDescent="0.2">
      <c r="A60" s="30" t="s">
        <v>47</v>
      </c>
      <c r="B60" s="31">
        <v>45</v>
      </c>
      <c r="C60" s="27">
        <v>60</v>
      </c>
      <c r="D60" s="27">
        <v>30</v>
      </c>
      <c r="E60" s="27">
        <v>30</v>
      </c>
      <c r="F60" s="27">
        <f t="shared" ref="F60:F69" si="24">C60-D60-E60</f>
        <v>0</v>
      </c>
      <c r="G60" s="27">
        <f t="shared" ref="G60:G69" si="25">H60-C60</f>
        <v>60</v>
      </c>
      <c r="H60" s="27">
        <f t="shared" ref="H60:H69" si="26">I60*30</f>
        <v>120</v>
      </c>
      <c r="I60" s="27">
        <v>4</v>
      </c>
      <c r="J60" s="29" t="s">
        <v>12</v>
      </c>
      <c r="K60" s="75">
        <f t="shared" si="3"/>
        <v>90</v>
      </c>
      <c r="L60" s="76">
        <f t="shared" si="4"/>
        <v>60</v>
      </c>
      <c r="M60" s="76">
        <f t="shared" si="5"/>
        <v>30</v>
      </c>
      <c r="N60" t="str">
        <f>IF(O60=""," ",VLOOKUP(O60,'[8]2012 личен състав ОТД'!$A:$AO,2,FALSE))</f>
        <v>доц. д-р Иван Русков</v>
      </c>
      <c r="O60" t="s">
        <v>492</v>
      </c>
      <c r="P60">
        <f>IF(O60=""," ",VLOOKUP(O60,'[8]2012 личен състав ОТД'!$A:$AO,13,FALSE))</f>
        <v>1960</v>
      </c>
      <c r="Q60" t="str">
        <f>IF(O60=""," ",VLOOKUP(O60,'[8]2012 личен състав ОТД'!$A:$AO,12,FALSE))</f>
        <v>ОТД</v>
      </c>
      <c r="R60" t="str">
        <f>IF(A60=""," ",VLOOKUP(A60,'Профилиращ лист'!A:B,2,FALSE))</f>
        <v>СПЕ</v>
      </c>
      <c r="T60">
        <f t="shared" ca="1" si="15"/>
        <v>53</v>
      </c>
    </row>
    <row r="61" spans="1:20" ht="15" x14ac:dyDescent="0.2">
      <c r="A61" s="30" t="s">
        <v>235</v>
      </c>
      <c r="B61" s="31">
        <v>0</v>
      </c>
      <c r="C61" s="27">
        <v>15</v>
      </c>
      <c r="D61" s="27">
        <v>15</v>
      </c>
      <c r="E61" s="27">
        <v>0</v>
      </c>
      <c r="F61" s="27">
        <f t="shared" si="24"/>
        <v>0</v>
      </c>
      <c r="G61" s="27">
        <f t="shared" si="25"/>
        <v>45</v>
      </c>
      <c r="H61" s="27">
        <f t="shared" si="26"/>
        <v>60</v>
      </c>
      <c r="I61" s="27">
        <v>2</v>
      </c>
      <c r="J61" s="29" t="s">
        <v>12</v>
      </c>
      <c r="K61" s="75">
        <f t="shared" si="3"/>
        <v>30</v>
      </c>
      <c r="L61" s="76">
        <f t="shared" si="4"/>
        <v>30</v>
      </c>
      <c r="M61" s="76">
        <f t="shared" si="5"/>
        <v>0</v>
      </c>
      <c r="N61" t="str">
        <f>IF(O61=""," ",VLOOKUP(O61,'[8]2012 личен състав ОТД'!$A:$AO,2,FALSE))</f>
        <v>гл. ас. д-р Наталия Христова</v>
      </c>
      <c r="O61" t="s">
        <v>525</v>
      </c>
      <c r="P61">
        <f>IF(O61=""," ",VLOOKUP(O61,'[8]2012 личен състав ОТД'!$A:$AO,13,FALSE))</f>
        <v>1975</v>
      </c>
      <c r="Q61" t="str">
        <f>IF(O61=""," ",VLOOKUP(O61,'[8]2012 личен състав ОТД'!$A:$AO,12,FALSE))</f>
        <v>ОТД</v>
      </c>
      <c r="R61" t="str">
        <f>IF(A61=""," ",VLOOKUP(A61,'Профилиращ лист'!A:B,2,FALSE))</f>
        <v>СПЕ</v>
      </c>
      <c r="T61">
        <f t="shared" ca="1" si="15"/>
        <v>38</v>
      </c>
    </row>
    <row r="62" spans="1:20" ht="15" x14ac:dyDescent="0.2">
      <c r="A62" s="30" t="s">
        <v>49</v>
      </c>
      <c r="B62" s="31">
        <v>45</v>
      </c>
      <c r="C62" s="27">
        <v>45</v>
      </c>
      <c r="D62" s="27">
        <v>30</v>
      </c>
      <c r="E62" s="27">
        <v>15</v>
      </c>
      <c r="F62" s="27">
        <f t="shared" si="24"/>
        <v>0</v>
      </c>
      <c r="G62" s="27">
        <f t="shared" si="25"/>
        <v>75</v>
      </c>
      <c r="H62" s="27">
        <f t="shared" si="26"/>
        <v>120</v>
      </c>
      <c r="I62" s="27">
        <v>4</v>
      </c>
      <c r="J62" s="29" t="s">
        <v>12</v>
      </c>
      <c r="K62" s="75">
        <f t="shared" si="3"/>
        <v>75</v>
      </c>
      <c r="L62" s="76">
        <f t="shared" si="4"/>
        <v>60</v>
      </c>
      <c r="M62" s="76">
        <f t="shared" si="5"/>
        <v>15</v>
      </c>
      <c r="N62" t="str">
        <f>IF(O62=""," ",VLOOKUP(O62,'[8]2012 личен състав ОТД'!$A:$AO,2,FALSE))</f>
        <v>доц. д-р Христина Тончева</v>
      </c>
      <c r="O62" t="s">
        <v>461</v>
      </c>
      <c r="P62">
        <f>IF(O62=""," ",VLOOKUP(O62,'[8]2012 личен състав ОТД'!$A:$AO,13,FALSE))</f>
        <v>1968</v>
      </c>
      <c r="Q62" t="str">
        <f>IF(O62=""," ",VLOOKUP(O62,'[8]2012 личен състав ОТД'!$A:$AO,12,FALSE))</f>
        <v>ОТД</v>
      </c>
      <c r="R62" t="str">
        <f>IF(A62=""," ",VLOOKUP(A62,'Профилиращ лист'!A:B,2,FALSE))</f>
        <v>ОФД</v>
      </c>
      <c r="T62">
        <f t="shared" ca="1" si="15"/>
        <v>45</v>
      </c>
    </row>
    <row r="63" spans="1:20" ht="15" hidden="1" x14ac:dyDescent="0.2">
      <c r="A63" s="30" t="s">
        <v>237</v>
      </c>
      <c r="B63" s="31">
        <v>90</v>
      </c>
      <c r="C63" s="27">
        <v>105</v>
      </c>
      <c r="D63" s="27">
        <v>0</v>
      </c>
      <c r="E63" s="27">
        <v>0</v>
      </c>
      <c r="F63" s="27">
        <f t="shared" si="24"/>
        <v>105</v>
      </c>
      <c r="G63" s="27">
        <f t="shared" si="25"/>
        <v>105</v>
      </c>
      <c r="H63" s="27">
        <f t="shared" si="26"/>
        <v>210</v>
      </c>
      <c r="I63" s="27">
        <v>7</v>
      </c>
      <c r="J63" s="29" t="s">
        <v>12</v>
      </c>
      <c r="K63" s="75">
        <f t="shared" si="3"/>
        <v>105</v>
      </c>
      <c r="L63" s="76">
        <f t="shared" si="4"/>
        <v>0</v>
      </c>
      <c r="M63" s="76">
        <f t="shared" si="5"/>
        <v>105</v>
      </c>
      <c r="N63" t="e">
        <f>IF(O63=""," ",VLOOKUP(O63,'[8]2012 личен състав ОТД'!$A:$AO,2,FALSE))</f>
        <v>#N/A</v>
      </c>
      <c r="O63" t="e">
        <f>IF(A63=""," ",VLOOKUP(A63,'Български и испански език'!A:O,15,FALSE))</f>
        <v>#N/A</v>
      </c>
      <c r="P63" t="e">
        <f>IF(O63=""," ",VLOOKUP(O63,'[8]2012 личен състав ОТД'!$A:$AO,13,FALSE))</f>
        <v>#N/A</v>
      </c>
      <c r="Q63" t="e">
        <f>IF(O63=""," ",VLOOKUP(O63,'[8]2012 личен състав ОТД'!$A:$AO,12,FALSE))</f>
        <v>#N/A</v>
      </c>
      <c r="R63" t="e">
        <f>IF(A63=""," ",VLOOKUP(A63,'Профилиращ лист'!A:B,2,FALSE))</f>
        <v>#N/A</v>
      </c>
      <c r="T63" t="e">
        <f t="shared" ca="1" si="15"/>
        <v>#N/A</v>
      </c>
    </row>
    <row r="64" spans="1:20" ht="15" x14ac:dyDescent="0.2">
      <c r="A64" s="30" t="s">
        <v>236</v>
      </c>
      <c r="B64" s="31">
        <v>30</v>
      </c>
      <c r="C64" s="27">
        <v>30</v>
      </c>
      <c r="D64" s="27">
        <v>15</v>
      </c>
      <c r="E64" s="27">
        <v>15</v>
      </c>
      <c r="F64" s="27">
        <f t="shared" si="24"/>
        <v>0</v>
      </c>
      <c r="G64" s="27">
        <f t="shared" si="25"/>
        <v>60</v>
      </c>
      <c r="H64" s="27">
        <f t="shared" si="26"/>
        <v>90</v>
      </c>
      <c r="I64" s="27">
        <v>3</v>
      </c>
      <c r="J64" s="29" t="s">
        <v>12</v>
      </c>
      <c r="K64" s="75">
        <f t="shared" si="3"/>
        <v>60</v>
      </c>
      <c r="L64" s="76">
        <f t="shared" si="4"/>
        <v>30</v>
      </c>
      <c r="M64" s="76">
        <f t="shared" si="5"/>
        <v>30</v>
      </c>
      <c r="N64" t="str">
        <f>IF(O64=""," ",VLOOKUP(O64,'[8]2012 личен състав ОТД'!$A:$AO,2,FALSE))</f>
        <v>гл. ас. д-р Даниела Янева</v>
      </c>
      <c r="O64" t="s">
        <v>527</v>
      </c>
      <c r="P64">
        <f>IF(O64=""," ",VLOOKUP(O64,'[8]2012 личен състав ОТД'!$A:$AO,13,FALSE))</f>
        <v>0</v>
      </c>
      <c r="Q64" t="str">
        <f>IF(O64=""," ",VLOOKUP(O64,'[8]2012 личен състав ОТД'!$A:$AO,12,FALSE))</f>
        <v>ХОН</v>
      </c>
      <c r="R64" t="str">
        <f>IF(A64=""," ",VLOOKUP(A64,'Профилиращ лист'!A:B,2,FALSE))</f>
        <v>СПЕ</v>
      </c>
      <c r="T64">
        <f t="shared" ca="1" si="15"/>
        <v>2013</v>
      </c>
    </row>
    <row r="65" spans="1:20" ht="15" hidden="1" x14ac:dyDescent="0.2">
      <c r="A65" s="30" t="s">
        <v>238</v>
      </c>
      <c r="B65" s="31">
        <v>30</v>
      </c>
      <c r="C65" s="27">
        <v>30</v>
      </c>
      <c r="D65" s="27">
        <v>15</v>
      </c>
      <c r="E65" s="27">
        <v>15</v>
      </c>
      <c r="F65" s="27">
        <f t="shared" si="24"/>
        <v>0</v>
      </c>
      <c r="G65" s="27">
        <f t="shared" si="25"/>
        <v>30</v>
      </c>
      <c r="H65" s="27">
        <f t="shared" si="26"/>
        <v>60</v>
      </c>
      <c r="I65" s="27">
        <v>2</v>
      </c>
      <c r="J65" s="32" t="s">
        <v>14</v>
      </c>
      <c r="K65" s="75">
        <f t="shared" si="3"/>
        <v>60</v>
      </c>
      <c r="L65" s="76">
        <f t="shared" si="4"/>
        <v>30</v>
      </c>
      <c r="M65" s="76">
        <f t="shared" si="5"/>
        <v>30</v>
      </c>
      <c r="N65" t="e">
        <f>IF(O65=""," ",VLOOKUP(O65,'[8]2012 личен състав ОТД'!$A:$AO,2,FALSE))</f>
        <v>#N/A</v>
      </c>
      <c r="O65" t="e">
        <f>IF(A65=""," ",VLOOKUP(A65,'Български и испански език'!A:O,15,FALSE))</f>
        <v>#N/A</v>
      </c>
      <c r="P65" t="e">
        <f>IF(O65=""," ",VLOOKUP(O65,'[8]2012 личен състав ОТД'!$A:$AO,13,FALSE))</f>
        <v>#N/A</v>
      </c>
      <c r="Q65" t="e">
        <f>IF(O65=""," ",VLOOKUP(O65,'[8]2012 личен състав ОТД'!$A:$AO,12,FALSE))</f>
        <v>#N/A</v>
      </c>
      <c r="R65" t="str">
        <f>IF(A65=""," ",VLOOKUP(A65,'Профилиращ лист'!A:B,2,FALSE))</f>
        <v>СПЕ</v>
      </c>
      <c r="T65" t="e">
        <f t="shared" ca="1" si="15"/>
        <v>#N/A</v>
      </c>
    </row>
    <row r="66" spans="1:20" ht="15" hidden="1" x14ac:dyDescent="0.2">
      <c r="A66" s="30" t="s">
        <v>54</v>
      </c>
      <c r="B66" s="31">
        <v>30</v>
      </c>
      <c r="C66" s="27">
        <v>30</v>
      </c>
      <c r="D66" s="27">
        <v>30</v>
      </c>
      <c r="E66" s="27">
        <v>0</v>
      </c>
      <c r="F66" s="27">
        <f t="shared" si="24"/>
        <v>0</v>
      </c>
      <c r="G66" s="27">
        <f t="shared" si="25"/>
        <v>30</v>
      </c>
      <c r="H66" s="27">
        <f t="shared" si="26"/>
        <v>60</v>
      </c>
      <c r="I66" s="27">
        <v>2</v>
      </c>
      <c r="J66" s="32" t="s">
        <v>14</v>
      </c>
      <c r="K66" s="75">
        <f t="shared" si="3"/>
        <v>60</v>
      </c>
      <c r="L66" s="76">
        <f t="shared" si="4"/>
        <v>45</v>
      </c>
      <c r="M66" s="76">
        <f t="shared" si="5"/>
        <v>15</v>
      </c>
      <c r="N66" t="str">
        <f>IF(O66=""," ",VLOOKUP(O66,'[8]2012 личен състав ОТД'!$A:$AO,2,FALSE))</f>
        <v xml:space="preserve">   </v>
      </c>
      <c r="O66">
        <f>IF(A66=""," ",VLOOKUP(A66,'Български и испански език'!A:O,15,FALSE))</f>
        <v>0</v>
      </c>
      <c r="P66">
        <f>IF(O66=""," ",VLOOKUP(O66,'[8]2012 личен състав ОТД'!$A:$AO,13,FALSE))</f>
        <v>0</v>
      </c>
      <c r="Q66">
        <f>IF(O66=""," ",VLOOKUP(O66,'[8]2012 личен състав ОТД'!$A:$AO,12,FALSE))</f>
        <v>0</v>
      </c>
      <c r="R66" t="str">
        <f>IF(A66=""," ",VLOOKUP(A66,'Профилиращ лист'!A:B,2,FALSE))</f>
        <v>СПЕ</v>
      </c>
      <c r="T66">
        <f t="shared" ca="1" si="15"/>
        <v>2013</v>
      </c>
    </row>
    <row r="67" spans="1:20" ht="15" hidden="1" x14ac:dyDescent="0.2">
      <c r="A67" s="30" t="s">
        <v>55</v>
      </c>
      <c r="B67" s="31">
        <v>30</v>
      </c>
      <c r="C67" s="27">
        <v>30</v>
      </c>
      <c r="D67" s="27">
        <v>0</v>
      </c>
      <c r="E67" s="27">
        <v>0</v>
      </c>
      <c r="F67" s="27">
        <f t="shared" si="24"/>
        <v>30</v>
      </c>
      <c r="G67" s="27">
        <f t="shared" si="25"/>
        <v>30</v>
      </c>
      <c r="H67" s="27">
        <f t="shared" si="26"/>
        <v>60</v>
      </c>
      <c r="I67" s="27">
        <v>2</v>
      </c>
      <c r="J67" s="29" t="s">
        <v>18</v>
      </c>
      <c r="K67" s="75">
        <f t="shared" si="3"/>
        <v>30</v>
      </c>
      <c r="L67" s="76">
        <f t="shared" si="4"/>
        <v>0</v>
      </c>
      <c r="M67" s="76">
        <f t="shared" si="5"/>
        <v>30</v>
      </c>
      <c r="N67" t="str">
        <f>IF(O67=""," ",VLOOKUP(O67,'[8]2012 личен състав ОТД'!$A:$AO,2,FALSE))</f>
        <v xml:space="preserve">   </v>
      </c>
      <c r="O67">
        <f>IF(A67=""," ",VLOOKUP(A67,'Български и испански език'!A:O,15,FALSE))</f>
        <v>0</v>
      </c>
      <c r="P67">
        <f>IF(O67=""," ",VLOOKUP(O67,'[8]2012 личен състав ОТД'!$A:$AO,13,FALSE))</f>
        <v>0</v>
      </c>
      <c r="Q67">
        <f>IF(O67=""," ",VLOOKUP(O67,'[8]2012 личен състав ОТД'!$A:$AO,12,FALSE))</f>
        <v>0</v>
      </c>
      <c r="R67" t="str">
        <f>IF(A67=""," ",VLOOKUP(A67,'Профилиращ лист'!A:B,2,FALSE))</f>
        <v>ФД</v>
      </c>
      <c r="T67">
        <f t="shared" ref="T67:T95" ca="1" si="27">Години-P67</f>
        <v>2013</v>
      </c>
    </row>
    <row r="68" spans="1:20" ht="15" hidden="1" x14ac:dyDescent="0.2">
      <c r="A68" s="30" t="s">
        <v>239</v>
      </c>
      <c r="B68" s="31">
        <v>15</v>
      </c>
      <c r="C68" s="27">
        <v>15</v>
      </c>
      <c r="D68" s="27">
        <v>0</v>
      </c>
      <c r="E68" s="27">
        <v>0</v>
      </c>
      <c r="F68" s="27">
        <f t="shared" si="24"/>
        <v>15</v>
      </c>
      <c r="G68" s="27">
        <f t="shared" si="25"/>
        <v>45</v>
      </c>
      <c r="H68" s="27">
        <f t="shared" si="26"/>
        <v>60</v>
      </c>
      <c r="I68" s="27">
        <v>2</v>
      </c>
      <c r="J68" s="32" t="s">
        <v>18</v>
      </c>
      <c r="K68" s="75">
        <f t="shared" ref="K68:K93" si="28">SUMIF(A:A,A68,C:C)</f>
        <v>15</v>
      </c>
      <c r="L68" s="76">
        <f t="shared" ref="L68:L93" si="29">SUMIF(A:A,A68,D:D)</f>
        <v>0</v>
      </c>
      <c r="M68" s="76">
        <f t="shared" ref="M68:M93" si="30">SUMIF(A:A,A68,E:E)+SUMIF(A:A,A68,F:F)</f>
        <v>15</v>
      </c>
      <c r="N68" t="e">
        <f>IF(O68=""," ",VLOOKUP(O68,'[8]2012 личен състав ОТД'!$A:$AO,2,FALSE))</f>
        <v>#N/A</v>
      </c>
      <c r="O68" t="e">
        <f>IF(A68=""," ",VLOOKUP(A68,'Български и испански език'!A:O,15,FALSE))</f>
        <v>#N/A</v>
      </c>
      <c r="P68" t="e">
        <f>IF(O68=""," ",VLOOKUP(O68,'[8]2012 личен състав ОТД'!$A:$AO,13,FALSE))</f>
        <v>#N/A</v>
      </c>
      <c r="Q68" t="e">
        <f>IF(O68=""," ",VLOOKUP(O68,'[8]2012 личен състав ОТД'!$A:$AO,12,FALSE))</f>
        <v>#N/A</v>
      </c>
      <c r="R68" t="e">
        <f>IF(A68=""," ",VLOOKUP(A68,'Профилиращ лист'!A:B,2,FALSE))</f>
        <v>#N/A</v>
      </c>
      <c r="T68" t="e">
        <f t="shared" ca="1" si="27"/>
        <v>#N/A</v>
      </c>
    </row>
    <row r="69" spans="1:20" ht="15" hidden="1" x14ac:dyDescent="0.2">
      <c r="A69" s="30" t="s">
        <v>57</v>
      </c>
      <c r="B69" s="31">
        <v>15</v>
      </c>
      <c r="C69" s="27">
        <v>30</v>
      </c>
      <c r="D69" s="27">
        <v>0</v>
      </c>
      <c r="E69" s="27">
        <v>0</v>
      </c>
      <c r="F69" s="27">
        <f t="shared" si="24"/>
        <v>30</v>
      </c>
      <c r="G69" s="27">
        <f t="shared" si="25"/>
        <v>30</v>
      </c>
      <c r="H69" s="27">
        <f t="shared" si="26"/>
        <v>60</v>
      </c>
      <c r="I69" s="27">
        <v>2</v>
      </c>
      <c r="J69" s="32" t="s">
        <v>18</v>
      </c>
      <c r="K69" s="75">
        <f t="shared" si="28"/>
        <v>30</v>
      </c>
      <c r="L69" s="76">
        <f t="shared" si="29"/>
        <v>0</v>
      </c>
      <c r="M69" s="76">
        <f t="shared" si="30"/>
        <v>30</v>
      </c>
      <c r="N69" t="str">
        <f>IF(O69=""," ",VLOOKUP(O69,'[8]2012 личен състав ОТД'!$A:$AO,2,FALSE))</f>
        <v xml:space="preserve">   </v>
      </c>
      <c r="O69">
        <f>IF(A69=""," ",VLOOKUP(A69,'Български и испански език'!A:O,15,FALSE))</f>
        <v>0</v>
      </c>
      <c r="P69">
        <f>IF(O69=""," ",VLOOKUP(O69,'[8]2012 личен състав ОТД'!$A:$AO,13,FALSE))</f>
        <v>0</v>
      </c>
      <c r="Q69">
        <f>IF(O69=""," ",VLOOKUP(O69,'[8]2012 личен състав ОТД'!$A:$AO,12,FALSE))</f>
        <v>0</v>
      </c>
      <c r="R69" t="str">
        <f>IF(A69=""," ",VLOOKUP(A69,'Профилиращ лист'!A:B,2,FALSE))</f>
        <v>ПЕД</v>
      </c>
      <c r="T69">
        <f t="shared" ca="1" si="27"/>
        <v>2013</v>
      </c>
    </row>
    <row r="70" spans="1:20" ht="15" hidden="1" x14ac:dyDescent="0.2">
      <c r="A70" s="30"/>
      <c r="B70" s="33">
        <f t="shared" ref="B70:I70" si="31">SUM(B60:B69)</f>
        <v>330</v>
      </c>
      <c r="C70" s="33">
        <f t="shared" si="31"/>
        <v>390</v>
      </c>
      <c r="D70" s="33">
        <f t="shared" si="31"/>
        <v>135</v>
      </c>
      <c r="E70" s="33">
        <f t="shared" si="31"/>
        <v>75</v>
      </c>
      <c r="F70" s="33">
        <f t="shared" si="31"/>
        <v>180</v>
      </c>
      <c r="G70" s="33">
        <f t="shared" si="31"/>
        <v>510</v>
      </c>
      <c r="H70" s="33">
        <f t="shared" si="31"/>
        <v>900</v>
      </c>
      <c r="I70" s="33">
        <f t="shared" si="31"/>
        <v>30</v>
      </c>
      <c r="J70" s="29"/>
      <c r="K70" s="75">
        <f t="shared" si="28"/>
        <v>0</v>
      </c>
      <c r="L70" s="76">
        <f t="shared" si="29"/>
        <v>0</v>
      </c>
      <c r="M70" s="76">
        <f t="shared" si="30"/>
        <v>0</v>
      </c>
      <c r="N70" t="e">
        <f>IF(O70=""," ",VLOOKUP(O70,'[8]2012 личен състав ОТД'!$A:$AO,2,FALSE))</f>
        <v>#N/A</v>
      </c>
      <c r="O70" t="str">
        <f>IF(A70=""," ",VLOOKUP(A70,'Български и испански език'!A:O,15,FALSE))</f>
        <v xml:space="preserve"> </v>
      </c>
      <c r="P70" t="e">
        <f>IF(O70=""," ",VLOOKUP(O70,'[8]2012 личен състав ОТД'!$A:$AO,13,FALSE))</f>
        <v>#N/A</v>
      </c>
      <c r="Q70" t="e">
        <f>IF(O70=""," ",VLOOKUP(O70,'[8]2012 личен състав ОТД'!$A:$AO,12,FALSE))</f>
        <v>#N/A</v>
      </c>
      <c r="R70" t="str">
        <f>IF(A70=""," ",VLOOKUP(A70,'Профилиращ лист'!A:B,2,FALSE))</f>
        <v xml:space="preserve"> </v>
      </c>
      <c r="T70" t="e">
        <f t="shared" ca="1" si="27"/>
        <v>#N/A</v>
      </c>
    </row>
    <row r="71" spans="1:20" ht="15" hidden="1" x14ac:dyDescent="0.2">
      <c r="A71" s="25" t="s">
        <v>59</v>
      </c>
      <c r="B71" s="26"/>
      <c r="C71" s="27"/>
      <c r="D71" s="27"/>
      <c r="E71" s="27"/>
      <c r="F71" s="27"/>
      <c r="G71" s="27"/>
      <c r="H71" s="27"/>
      <c r="I71" s="28"/>
      <c r="J71" s="29"/>
      <c r="K71" s="75">
        <f t="shared" si="28"/>
        <v>0</v>
      </c>
      <c r="L71" s="76">
        <f t="shared" si="29"/>
        <v>0</v>
      </c>
      <c r="M71" s="76">
        <f t="shared" si="30"/>
        <v>0</v>
      </c>
      <c r="N71" t="str">
        <f>IF(O71=""," ",VLOOKUP(O71,'[8]2012 личен състав ОТД'!$A:$AO,2,FALSE))</f>
        <v xml:space="preserve">   </v>
      </c>
      <c r="O71">
        <f>IF(A71=""," ",VLOOKUP(A71,'Български и испански език'!A:O,15,FALSE))</f>
        <v>0</v>
      </c>
      <c r="P71">
        <f>IF(O71=""," ",VLOOKUP(O71,'[8]2012 личен състав ОТД'!$A:$AO,13,FALSE))</f>
        <v>0</v>
      </c>
      <c r="Q71">
        <f>IF(O71=""," ",VLOOKUP(O71,'[8]2012 личен състав ОТД'!$A:$AO,12,FALSE))</f>
        <v>0</v>
      </c>
      <c r="R71" t="e">
        <f>IF(A71=""," ",VLOOKUP(A71,'Профилиращ лист'!A:B,2,FALSE))</f>
        <v>#N/A</v>
      </c>
      <c r="T71">
        <f t="shared" ca="1" si="27"/>
        <v>2013</v>
      </c>
    </row>
    <row r="72" spans="1:20" ht="15" x14ac:dyDescent="0.2">
      <c r="A72" s="30" t="s">
        <v>196</v>
      </c>
      <c r="B72" s="31">
        <v>15</v>
      </c>
      <c r="C72" s="27">
        <v>15</v>
      </c>
      <c r="D72" s="27">
        <v>15</v>
      </c>
      <c r="E72" s="27">
        <v>0</v>
      </c>
      <c r="F72" s="27">
        <f t="shared" ref="F72:F82" si="32">C72-D72-E72</f>
        <v>0</v>
      </c>
      <c r="G72" s="27">
        <f t="shared" ref="G72:G82" si="33">H72-C72</f>
        <v>75</v>
      </c>
      <c r="H72" s="27">
        <f t="shared" ref="H72:H82" si="34">I72*30</f>
        <v>90</v>
      </c>
      <c r="I72" s="27">
        <v>3</v>
      </c>
      <c r="J72" s="32" t="s">
        <v>12</v>
      </c>
      <c r="K72" s="75">
        <f t="shared" si="28"/>
        <v>15</v>
      </c>
      <c r="L72" s="76">
        <f t="shared" si="29"/>
        <v>15</v>
      </c>
      <c r="M72" s="76">
        <f t="shared" si="30"/>
        <v>0</v>
      </c>
      <c r="N72" t="str">
        <f>IF(O72=""," ",VLOOKUP(O72,'[8]2012 личен състав ОТД'!$A:$AO,2,FALSE))</f>
        <v>доц. д-р Елена Гетова</v>
      </c>
      <c r="O72" t="s">
        <v>468</v>
      </c>
      <c r="P72">
        <f>IF(O72=""," ",VLOOKUP(O72,'[8]2012 личен състав ОТД'!$A:$AO,13,FALSE))</f>
        <v>1969</v>
      </c>
      <c r="Q72" t="str">
        <f>IF(O72=""," ",VLOOKUP(O72,'[8]2012 личен състав ОТД'!$A:$AO,12,FALSE))</f>
        <v>ОТД</v>
      </c>
      <c r="R72" t="str">
        <f>IF(A72=""," ",VLOOKUP(A72,'Профилиращ лист'!A:B,2,FALSE))</f>
        <v>ИЗБ</v>
      </c>
      <c r="T72">
        <f t="shared" ca="1" si="27"/>
        <v>44</v>
      </c>
    </row>
    <row r="73" spans="1:20" ht="15" x14ac:dyDescent="0.2">
      <c r="A73" s="30" t="s">
        <v>240</v>
      </c>
      <c r="B73" s="31">
        <v>30</v>
      </c>
      <c r="C73" s="27">
        <v>30</v>
      </c>
      <c r="D73" s="27">
        <v>15</v>
      </c>
      <c r="E73" s="27">
        <v>15</v>
      </c>
      <c r="F73" s="27">
        <f t="shared" si="32"/>
        <v>0</v>
      </c>
      <c r="G73" s="27">
        <f t="shared" si="33"/>
        <v>30</v>
      </c>
      <c r="H73" s="27">
        <f t="shared" si="34"/>
        <v>60</v>
      </c>
      <c r="I73" s="27">
        <v>2</v>
      </c>
      <c r="J73" s="29" t="s">
        <v>12</v>
      </c>
      <c r="K73" s="75">
        <f t="shared" si="28"/>
        <v>30</v>
      </c>
      <c r="L73" s="76">
        <f t="shared" si="29"/>
        <v>15</v>
      </c>
      <c r="M73" s="76">
        <f t="shared" si="30"/>
        <v>15</v>
      </c>
      <c r="N73" t="str">
        <f>IF(O73=""," ",VLOOKUP(O73,'[8]2012 личен състав ОТД'!$A:$AO,2,FALSE))</f>
        <v>гл. ас. д-р Даниела Янева</v>
      </c>
      <c r="O73" t="s">
        <v>527</v>
      </c>
      <c r="P73">
        <f>IF(O73=""," ",VLOOKUP(O73,'[8]2012 личен състав ОТД'!$A:$AO,13,FALSE))</f>
        <v>0</v>
      </c>
      <c r="Q73" t="str">
        <f>IF(O73=""," ",VLOOKUP(O73,'[8]2012 личен състав ОТД'!$A:$AO,12,FALSE))</f>
        <v>ХОН</v>
      </c>
      <c r="R73" t="str">
        <f>IF(A73=""," ",VLOOKUP(A73,'Профилиращ лист'!A:B,2,FALSE))</f>
        <v>СПЕ</v>
      </c>
      <c r="T73">
        <f t="shared" ca="1" si="27"/>
        <v>2013</v>
      </c>
    </row>
    <row r="74" spans="1:20" ht="15" hidden="1" x14ac:dyDescent="0.2">
      <c r="A74" s="30" t="s">
        <v>62</v>
      </c>
      <c r="B74" s="31">
        <v>45</v>
      </c>
      <c r="C74" s="27">
        <v>45</v>
      </c>
      <c r="D74" s="27">
        <v>45</v>
      </c>
      <c r="E74" s="27">
        <v>0</v>
      </c>
      <c r="F74" s="27">
        <f t="shared" si="32"/>
        <v>0</v>
      </c>
      <c r="G74" s="27">
        <f t="shared" si="33"/>
        <v>45</v>
      </c>
      <c r="H74" s="27">
        <f t="shared" si="34"/>
        <v>90</v>
      </c>
      <c r="I74" s="27">
        <v>3</v>
      </c>
      <c r="J74" s="32" t="s">
        <v>14</v>
      </c>
      <c r="K74" s="75">
        <f t="shared" si="28"/>
        <v>90</v>
      </c>
      <c r="L74" s="76">
        <f t="shared" si="29"/>
        <v>75</v>
      </c>
      <c r="M74" s="76">
        <f t="shared" si="30"/>
        <v>15</v>
      </c>
      <c r="N74" t="str">
        <f>IF(O74=""," ",VLOOKUP(O74,'[8]2012 личен състав ОТД'!$A:$AO,2,FALSE))</f>
        <v xml:space="preserve">   </v>
      </c>
      <c r="O74">
        <f>IF(A74=""," ",VLOOKUP(A74,'Български и испански език'!A:O,15,FALSE))</f>
        <v>0</v>
      </c>
      <c r="P74">
        <f>IF(O74=""," ",VLOOKUP(O74,'[8]2012 личен състав ОТД'!$A:$AO,13,FALSE))</f>
        <v>0</v>
      </c>
      <c r="Q74">
        <f>IF(O74=""," ",VLOOKUP(O74,'[8]2012 личен състав ОТД'!$A:$AO,12,FALSE))</f>
        <v>0</v>
      </c>
      <c r="R74" t="str">
        <f>IF(A74=""," ",VLOOKUP(A74,'Профилиращ лист'!A:B,2,FALSE))</f>
        <v>СПЕ</v>
      </c>
      <c r="T74">
        <f t="shared" ca="1" si="27"/>
        <v>2013</v>
      </c>
    </row>
    <row r="75" spans="1:20" ht="15" x14ac:dyDescent="0.2">
      <c r="A75" s="30" t="s">
        <v>241</v>
      </c>
      <c r="B75" s="31">
        <v>30</v>
      </c>
      <c r="C75" s="27">
        <v>30</v>
      </c>
      <c r="D75" s="27">
        <v>30</v>
      </c>
      <c r="E75" s="27">
        <v>0</v>
      </c>
      <c r="F75" s="27">
        <f t="shared" si="32"/>
        <v>0</v>
      </c>
      <c r="G75" s="27">
        <f t="shared" si="33"/>
        <v>60</v>
      </c>
      <c r="H75" s="27">
        <f t="shared" si="34"/>
        <v>90</v>
      </c>
      <c r="I75" s="27">
        <v>3</v>
      </c>
      <c r="J75" s="29" t="s">
        <v>12</v>
      </c>
      <c r="K75" s="75">
        <f t="shared" si="28"/>
        <v>30</v>
      </c>
      <c r="L75" s="76">
        <f t="shared" si="29"/>
        <v>30</v>
      </c>
      <c r="M75" s="76">
        <f t="shared" si="30"/>
        <v>0</v>
      </c>
      <c r="N75" t="str">
        <f>IF(O75=""," ",VLOOKUP(O75,'[8]2012 личен състав ОТД'!$A:$AO,2,FALSE))</f>
        <v>ас.  Илиана Тилева</v>
      </c>
      <c r="O75" t="s">
        <v>528</v>
      </c>
      <c r="P75">
        <f>IF(O75=""," ",VLOOKUP(O75,'[8]2012 личен състав ОТД'!$A:$AO,13,FALSE))</f>
        <v>0</v>
      </c>
      <c r="Q75" t="str">
        <f>IF(O75=""," ",VLOOKUP(O75,'[8]2012 личен състав ОТД'!$A:$AO,12,FALSE))</f>
        <v>ХОН</v>
      </c>
      <c r="R75" t="str">
        <f>IF(A75=""," ",VLOOKUP(A75,'Профилиращ лист'!A:B,2,FALSE))</f>
        <v>ПЕД</v>
      </c>
      <c r="T75">
        <f t="shared" ca="1" si="27"/>
        <v>2013</v>
      </c>
    </row>
    <row r="76" spans="1:20" ht="15" x14ac:dyDescent="0.2">
      <c r="A76" s="30" t="s">
        <v>64</v>
      </c>
      <c r="B76" s="31">
        <v>15</v>
      </c>
      <c r="C76" s="27">
        <v>15</v>
      </c>
      <c r="D76" s="27">
        <v>15</v>
      </c>
      <c r="E76" s="27">
        <v>0</v>
      </c>
      <c r="F76" s="27">
        <f t="shared" si="32"/>
        <v>0</v>
      </c>
      <c r="G76" s="27">
        <f t="shared" si="33"/>
        <v>75</v>
      </c>
      <c r="H76" s="27">
        <f t="shared" si="34"/>
        <v>90</v>
      </c>
      <c r="I76" s="27">
        <v>3</v>
      </c>
      <c r="J76" s="29" t="s">
        <v>12</v>
      </c>
      <c r="K76" s="75">
        <f t="shared" si="28"/>
        <v>15</v>
      </c>
      <c r="L76" s="76">
        <f t="shared" si="29"/>
        <v>15</v>
      </c>
      <c r="M76" s="76">
        <f t="shared" si="30"/>
        <v>0</v>
      </c>
      <c r="N76" t="str">
        <f>IF(O76=""," ",VLOOKUP(O76,'[8]2012 личен състав ОТД'!$A:$AO,2,FALSE))</f>
        <v>гл. ас. д-р Марина Самалиева</v>
      </c>
      <c r="O76" t="str">
        <f>IF(A76=""," ",VLOOKUP(A76,'Български и испански език'!A:O,15,FALSE))</f>
        <v>самалиева</v>
      </c>
      <c r="P76">
        <f>IF(O76=""," ",VLOOKUP(O76,'[8]2012 личен състав ОТД'!$A:$AO,13,FALSE))</f>
        <v>1960</v>
      </c>
      <c r="Q76" t="str">
        <f>IF(O76=""," ",VLOOKUP(O76,'[8]2012 личен състав ОТД'!$A:$AO,12,FALSE))</f>
        <v>ОТД</v>
      </c>
      <c r="R76" t="str">
        <f>IF(A76=""," ",VLOOKUP(A76,'Профилиращ лист'!A:B,2,FALSE))</f>
        <v>ПЕД</v>
      </c>
      <c r="T76">
        <f t="shared" ca="1" si="27"/>
        <v>53</v>
      </c>
    </row>
    <row r="77" spans="1:20" ht="15" x14ac:dyDescent="0.2">
      <c r="A77" s="30" t="s">
        <v>65</v>
      </c>
      <c r="B77" s="31">
        <v>15</v>
      </c>
      <c r="C77" s="27">
        <v>15</v>
      </c>
      <c r="D77" s="27">
        <v>15</v>
      </c>
      <c r="E77" s="27">
        <v>0</v>
      </c>
      <c r="F77" s="27">
        <f t="shared" si="32"/>
        <v>0</v>
      </c>
      <c r="G77" s="27">
        <f t="shared" si="33"/>
        <v>75</v>
      </c>
      <c r="H77" s="27">
        <f t="shared" si="34"/>
        <v>90</v>
      </c>
      <c r="I77" s="27">
        <v>3</v>
      </c>
      <c r="J77" s="29" t="s">
        <v>12</v>
      </c>
      <c r="K77" s="75">
        <f t="shared" si="28"/>
        <v>15</v>
      </c>
      <c r="L77" s="76">
        <f t="shared" si="29"/>
        <v>15</v>
      </c>
      <c r="M77" s="76">
        <f t="shared" si="30"/>
        <v>0</v>
      </c>
      <c r="N77" t="str">
        <f>IF(O77=""," ",VLOOKUP(O77,'[8]2012 личен състав ОТД'!$A:$AO,2,FALSE))</f>
        <v>доц. д-р Пенка Гарушева-Карамалакова</v>
      </c>
      <c r="O77" t="str">
        <f>IF(A77=""," ",VLOOKUP(A77,'Български и испански език'!A:O,15,FALSE))</f>
        <v>гарушева</v>
      </c>
      <c r="P77">
        <f>IF(O77=""," ",VLOOKUP(O77,'[8]2012 личен състав ОТД'!$A:$AO,13,FALSE))</f>
        <v>1947</v>
      </c>
      <c r="Q77" t="str">
        <f>IF(O77=""," ",VLOOKUP(O77,'[8]2012 личен състав ОТД'!$A:$AO,12,FALSE))</f>
        <v>ОТД</v>
      </c>
      <c r="R77" t="str">
        <f>IF(A77=""," ",VLOOKUP(A77,'Профилиращ лист'!A:B,2,FALSE))</f>
        <v>ПЕД</v>
      </c>
      <c r="T77">
        <f t="shared" ca="1" si="27"/>
        <v>66</v>
      </c>
    </row>
    <row r="78" spans="1:20" ht="15" hidden="1" x14ac:dyDescent="0.2">
      <c r="A78" s="30" t="s">
        <v>228</v>
      </c>
      <c r="B78" s="31">
        <v>90</v>
      </c>
      <c r="C78" s="27">
        <v>75</v>
      </c>
      <c r="D78" s="27">
        <v>0</v>
      </c>
      <c r="E78" s="27">
        <v>0</v>
      </c>
      <c r="F78" s="27">
        <f t="shared" si="32"/>
        <v>75</v>
      </c>
      <c r="G78" s="27">
        <f t="shared" si="33"/>
        <v>75</v>
      </c>
      <c r="H78" s="27">
        <f t="shared" si="34"/>
        <v>150</v>
      </c>
      <c r="I78" s="27">
        <v>5</v>
      </c>
      <c r="J78" s="32" t="s">
        <v>14</v>
      </c>
      <c r="K78" s="75">
        <f t="shared" si="28"/>
        <v>630</v>
      </c>
      <c r="L78" s="76">
        <f t="shared" si="29"/>
        <v>0</v>
      </c>
      <c r="M78" s="76">
        <f t="shared" si="30"/>
        <v>630</v>
      </c>
      <c r="N78" t="e">
        <f>IF(O78=""," ",VLOOKUP(O78,'[8]2012 личен състав ОТД'!$A:$AO,2,FALSE))</f>
        <v>#N/A</v>
      </c>
      <c r="O78" t="e">
        <f>IF(A78=""," ",VLOOKUP(A78,'Български и испански език'!A:O,15,FALSE))</f>
        <v>#N/A</v>
      </c>
      <c r="P78" t="e">
        <f>IF(O78=""," ",VLOOKUP(O78,'[8]2012 личен състав ОТД'!$A:$AO,13,FALSE))</f>
        <v>#N/A</v>
      </c>
      <c r="Q78" t="e">
        <f>IF(O78=""," ",VLOOKUP(O78,'[8]2012 личен състав ОТД'!$A:$AO,12,FALSE))</f>
        <v>#N/A</v>
      </c>
      <c r="R78" t="e">
        <f>IF(A78=""," ",VLOOKUP(A78,'Профилиращ лист'!A:B,2,FALSE))</f>
        <v>#N/A</v>
      </c>
      <c r="T78" t="e">
        <f t="shared" ca="1" si="27"/>
        <v>#N/A</v>
      </c>
    </row>
    <row r="79" spans="1:20" ht="15" x14ac:dyDescent="0.2">
      <c r="A79" s="30" t="s">
        <v>238</v>
      </c>
      <c r="B79" s="31">
        <v>30</v>
      </c>
      <c r="C79" s="27">
        <v>30</v>
      </c>
      <c r="D79" s="27">
        <v>15</v>
      </c>
      <c r="E79" s="27">
        <v>15</v>
      </c>
      <c r="F79" s="27">
        <f t="shared" si="32"/>
        <v>0</v>
      </c>
      <c r="G79" s="27">
        <f t="shared" si="33"/>
        <v>30</v>
      </c>
      <c r="H79" s="27">
        <f t="shared" si="34"/>
        <v>60</v>
      </c>
      <c r="I79" s="27">
        <v>2</v>
      </c>
      <c r="J79" s="29" t="s">
        <v>12</v>
      </c>
      <c r="K79" s="75">
        <f t="shared" si="28"/>
        <v>60</v>
      </c>
      <c r="L79" s="76">
        <f t="shared" si="29"/>
        <v>30</v>
      </c>
      <c r="M79" s="76">
        <f t="shared" si="30"/>
        <v>30</v>
      </c>
      <c r="N79" t="str">
        <f>IF(O79=""," ",VLOOKUP(O79,'[8]2012 личен състав ОТД'!$A:$AO,2,FALSE))</f>
        <v>гл. ас. д-р Дария Карапеткова</v>
      </c>
      <c r="O79" t="s">
        <v>526</v>
      </c>
      <c r="P79">
        <f>IF(O79=""," ",VLOOKUP(O79,'[8]2012 личен състав ОТД'!$A:$AO,13,FALSE))</f>
        <v>0</v>
      </c>
      <c r="Q79" t="str">
        <f>IF(O79=""," ",VLOOKUP(O79,'[8]2012 личен състав ОТД'!$A:$AO,12,FALSE))</f>
        <v>ХОН</v>
      </c>
      <c r="R79" t="str">
        <f>IF(A79=""," ",VLOOKUP(A79,'Профилиращ лист'!A:B,2,FALSE))</f>
        <v>СПЕ</v>
      </c>
      <c r="T79">
        <f t="shared" ca="1" si="27"/>
        <v>2013</v>
      </c>
    </row>
    <row r="80" spans="1:20" ht="15" x14ac:dyDescent="0.2">
      <c r="A80" s="30" t="s">
        <v>54</v>
      </c>
      <c r="B80" s="31">
        <v>30</v>
      </c>
      <c r="C80" s="27">
        <v>30</v>
      </c>
      <c r="D80" s="27">
        <v>15</v>
      </c>
      <c r="E80" s="27">
        <v>15</v>
      </c>
      <c r="F80" s="27">
        <f t="shared" si="32"/>
        <v>0</v>
      </c>
      <c r="G80" s="27">
        <f t="shared" si="33"/>
        <v>30</v>
      </c>
      <c r="H80" s="27">
        <f t="shared" si="34"/>
        <v>60</v>
      </c>
      <c r="I80" s="27">
        <v>2</v>
      </c>
      <c r="J80" s="29" t="s">
        <v>12</v>
      </c>
      <c r="K80" s="75">
        <f t="shared" si="28"/>
        <v>60</v>
      </c>
      <c r="L80" s="76">
        <f t="shared" si="29"/>
        <v>45</v>
      </c>
      <c r="M80" s="76">
        <f t="shared" si="30"/>
        <v>15</v>
      </c>
      <c r="N80" t="str">
        <f>IF(O80=""," ",VLOOKUP(O80,'[8]2012 личен състав ОТД'!$A:$AO,2,FALSE))</f>
        <v>доц. д-р Петя Бъркалова</v>
      </c>
      <c r="O80" t="s">
        <v>479</v>
      </c>
      <c r="P80">
        <f>IF(O80=""," ",VLOOKUP(O80,'[8]2012 личен състав ОТД'!$A:$AO,13,FALSE))</f>
        <v>1956</v>
      </c>
      <c r="Q80" t="str">
        <f>IF(O80=""," ",VLOOKUP(O80,'[8]2012 личен състав ОТД'!$A:$AO,12,FALSE))</f>
        <v>ОТД</v>
      </c>
      <c r="R80" t="str">
        <f>IF(A80=""," ",VLOOKUP(A80,'Профилиращ лист'!A:B,2,FALSE))</f>
        <v>СПЕ</v>
      </c>
      <c r="T80">
        <f t="shared" ca="1" si="27"/>
        <v>57</v>
      </c>
    </row>
    <row r="81" spans="1:20" ht="15" hidden="1" x14ac:dyDescent="0.2">
      <c r="A81" s="30" t="s">
        <v>66</v>
      </c>
      <c r="B81" s="31">
        <v>30</v>
      </c>
      <c r="C81" s="27">
        <v>30</v>
      </c>
      <c r="D81" s="27">
        <v>0</v>
      </c>
      <c r="E81" s="27">
        <v>0</v>
      </c>
      <c r="F81" s="27">
        <f t="shared" si="32"/>
        <v>30</v>
      </c>
      <c r="G81" s="27">
        <f t="shared" si="33"/>
        <v>30</v>
      </c>
      <c r="H81" s="27">
        <f t="shared" si="34"/>
        <v>60</v>
      </c>
      <c r="I81" s="27">
        <v>2</v>
      </c>
      <c r="J81" s="32" t="s">
        <v>18</v>
      </c>
      <c r="K81" s="75">
        <f t="shared" si="28"/>
        <v>30</v>
      </c>
      <c r="L81" s="76">
        <f t="shared" si="29"/>
        <v>0</v>
      </c>
      <c r="M81" s="76">
        <f t="shared" si="30"/>
        <v>30</v>
      </c>
      <c r="N81" t="str">
        <f>IF(O81=""," ",VLOOKUP(O81,'[8]2012 личен състав ОТД'!$A:$AO,2,FALSE))</f>
        <v xml:space="preserve">   </v>
      </c>
      <c r="O81">
        <f>IF(A81=""," ",VLOOKUP(A81,'Български и испански език'!A:O,15,FALSE))</f>
        <v>0</v>
      </c>
      <c r="P81">
        <f>IF(O81=""," ",VLOOKUP(O81,'[8]2012 личен състав ОТД'!$A:$AO,13,FALSE))</f>
        <v>0</v>
      </c>
      <c r="Q81">
        <f>IF(O81=""," ",VLOOKUP(O81,'[8]2012 личен състав ОТД'!$A:$AO,12,FALSE))</f>
        <v>0</v>
      </c>
      <c r="R81" t="str">
        <f>IF(A81=""," ",VLOOKUP(A81,'Профилиращ лист'!A:B,2,FALSE))</f>
        <v>ПЕД</v>
      </c>
      <c r="T81">
        <f t="shared" ca="1" si="27"/>
        <v>2013</v>
      </c>
    </row>
    <row r="82" spans="1:20" ht="15" hidden="1" x14ac:dyDescent="0.2">
      <c r="A82" s="30" t="s">
        <v>242</v>
      </c>
      <c r="B82" s="31">
        <v>15</v>
      </c>
      <c r="C82" s="27">
        <v>15</v>
      </c>
      <c r="D82" s="27">
        <v>0</v>
      </c>
      <c r="E82" s="27">
        <v>0</v>
      </c>
      <c r="F82" s="27">
        <f t="shared" si="32"/>
        <v>15</v>
      </c>
      <c r="G82" s="27">
        <f t="shared" si="33"/>
        <v>45</v>
      </c>
      <c r="H82" s="27">
        <f t="shared" si="34"/>
        <v>60</v>
      </c>
      <c r="I82" s="27">
        <v>2</v>
      </c>
      <c r="J82" s="32" t="s">
        <v>18</v>
      </c>
      <c r="K82" s="75">
        <f t="shared" si="28"/>
        <v>15</v>
      </c>
      <c r="L82" s="76">
        <f t="shared" si="29"/>
        <v>0</v>
      </c>
      <c r="M82" s="76">
        <f t="shared" si="30"/>
        <v>15</v>
      </c>
      <c r="N82" t="e">
        <f>IF(O82=""," ",VLOOKUP(O82,'[8]2012 личен състав ОТД'!$A:$AO,2,FALSE))</f>
        <v>#N/A</v>
      </c>
      <c r="O82" t="e">
        <f>IF(A82=""," ",VLOOKUP(A82,'Български и испански език'!A:O,15,FALSE))</f>
        <v>#N/A</v>
      </c>
      <c r="P82" t="e">
        <f>IF(O82=""," ",VLOOKUP(O82,'[8]2012 личен състав ОТД'!$A:$AO,13,FALSE))</f>
        <v>#N/A</v>
      </c>
      <c r="Q82" t="e">
        <f>IF(O82=""," ",VLOOKUP(O82,'[8]2012 личен състав ОТД'!$A:$AO,12,FALSE))</f>
        <v>#N/A</v>
      </c>
      <c r="R82" t="e">
        <f>IF(A82=""," ",VLOOKUP(A82,'Профилиращ лист'!A:B,2,FALSE))</f>
        <v>#N/A</v>
      </c>
      <c r="T82" t="e">
        <f t="shared" ca="1" si="27"/>
        <v>#N/A</v>
      </c>
    </row>
    <row r="83" spans="1:20" ht="15" hidden="1" x14ac:dyDescent="0.2">
      <c r="A83" s="30"/>
      <c r="B83" s="33">
        <f t="shared" ref="B83:I83" si="35">SUM(B72:B82)</f>
        <v>345</v>
      </c>
      <c r="C83" s="33">
        <f t="shared" si="35"/>
        <v>330</v>
      </c>
      <c r="D83" s="33">
        <f t="shared" si="35"/>
        <v>165</v>
      </c>
      <c r="E83" s="33">
        <f t="shared" si="35"/>
        <v>45</v>
      </c>
      <c r="F83" s="33">
        <f t="shared" si="35"/>
        <v>120</v>
      </c>
      <c r="G83" s="33">
        <f t="shared" si="35"/>
        <v>570</v>
      </c>
      <c r="H83" s="33">
        <f t="shared" si="35"/>
        <v>900</v>
      </c>
      <c r="I83" s="33">
        <f t="shared" si="35"/>
        <v>30</v>
      </c>
      <c r="J83" s="29"/>
      <c r="K83" s="75">
        <f t="shared" si="28"/>
        <v>0</v>
      </c>
      <c r="L83" s="76">
        <f t="shared" si="29"/>
        <v>0</v>
      </c>
      <c r="M83" s="76">
        <f t="shared" si="30"/>
        <v>0</v>
      </c>
      <c r="N83" t="e">
        <f>IF(O83=""," ",VLOOKUP(O83,'[8]2012 личен състав ОТД'!$A:$AO,2,FALSE))</f>
        <v>#N/A</v>
      </c>
      <c r="O83" t="str">
        <f>IF(A83=""," ",VLOOKUP(A83,'Български и испански език'!A:O,15,FALSE))</f>
        <v xml:space="preserve"> </v>
      </c>
      <c r="P83" t="e">
        <f>IF(O83=""," ",VLOOKUP(O83,'[8]2012 личен състав ОТД'!$A:$AO,13,FALSE))</f>
        <v>#N/A</v>
      </c>
      <c r="Q83" t="e">
        <f>IF(O83=""," ",VLOOKUP(O83,'[8]2012 личен състав ОТД'!$A:$AO,12,FALSE))</f>
        <v>#N/A</v>
      </c>
      <c r="R83" t="str">
        <f>IF(A83=""," ",VLOOKUP(A83,'Профилиращ лист'!A:B,2,FALSE))</f>
        <v xml:space="preserve"> </v>
      </c>
      <c r="T83" t="e">
        <f t="shared" ca="1" si="27"/>
        <v>#N/A</v>
      </c>
    </row>
    <row r="84" spans="1:20" ht="15" hidden="1" x14ac:dyDescent="0.25">
      <c r="A84" s="25" t="s">
        <v>68</v>
      </c>
      <c r="B84" s="26"/>
      <c r="C84" s="27"/>
      <c r="D84" s="27"/>
      <c r="E84" s="27"/>
      <c r="F84" s="27"/>
      <c r="G84" s="27"/>
      <c r="H84" s="27"/>
      <c r="I84" s="28"/>
      <c r="J84" s="36"/>
      <c r="K84" s="75">
        <f t="shared" si="28"/>
        <v>0</v>
      </c>
      <c r="L84" s="76">
        <f t="shared" si="29"/>
        <v>0</v>
      </c>
      <c r="M84" s="76">
        <f t="shared" si="30"/>
        <v>0</v>
      </c>
      <c r="N84" t="str">
        <f>IF(O84=""," ",VLOOKUP(O84,'[8]2012 личен състав ОТД'!$A:$AO,2,FALSE))</f>
        <v xml:space="preserve">   </v>
      </c>
      <c r="O84">
        <f>IF(A84=""," ",VLOOKUP(A84,'Български и испански език'!A:O,15,FALSE))</f>
        <v>0</v>
      </c>
      <c r="P84">
        <f>IF(O84=""," ",VLOOKUP(O84,'[8]2012 личен състав ОТД'!$A:$AO,13,FALSE))</f>
        <v>0</v>
      </c>
      <c r="Q84">
        <f>IF(O84=""," ",VLOOKUP(O84,'[8]2012 личен състав ОТД'!$A:$AO,12,FALSE))</f>
        <v>0</v>
      </c>
      <c r="R84" t="e">
        <f>IF(A84=""," ",VLOOKUP(A84,'Профилиращ лист'!A:B,2,FALSE))</f>
        <v>#N/A</v>
      </c>
      <c r="T84">
        <f t="shared" ca="1" si="27"/>
        <v>2013</v>
      </c>
    </row>
    <row r="85" spans="1:20" ht="15" x14ac:dyDescent="0.2">
      <c r="A85" s="30" t="s">
        <v>243</v>
      </c>
      <c r="B85" s="31">
        <v>30</v>
      </c>
      <c r="C85" s="37">
        <v>15</v>
      </c>
      <c r="D85" s="37">
        <v>15</v>
      </c>
      <c r="E85" s="37">
        <v>0</v>
      </c>
      <c r="F85" s="27">
        <f t="shared" ref="F85:F93" si="36">C85-D85-E85</f>
        <v>0</v>
      </c>
      <c r="G85" s="27">
        <f t="shared" ref="G85:G93" si="37">H85-C85</f>
        <v>75</v>
      </c>
      <c r="H85" s="27">
        <f t="shared" ref="H85:H93" si="38">I85*30</f>
        <v>90</v>
      </c>
      <c r="I85" s="37">
        <v>3</v>
      </c>
      <c r="J85" s="29" t="s">
        <v>12</v>
      </c>
      <c r="K85" s="75">
        <f t="shared" si="28"/>
        <v>15</v>
      </c>
      <c r="L85" s="76">
        <f t="shared" si="29"/>
        <v>15</v>
      </c>
      <c r="M85" s="76">
        <f t="shared" si="30"/>
        <v>0</v>
      </c>
      <c r="N85" t="str">
        <f>IF(O85=""," ",VLOOKUP(O85,'[8]2012 личен състав ОТД'!$A:$AO,2,FALSE))</f>
        <v>гл. ас. д-р Даниела Янева</v>
      </c>
      <c r="O85" t="s">
        <v>527</v>
      </c>
      <c r="P85">
        <f>IF(O85=""," ",VLOOKUP(O85,'[8]2012 личен състав ОТД'!$A:$AO,13,FALSE))</f>
        <v>0</v>
      </c>
      <c r="Q85" t="str">
        <f>IF(O85=""," ",VLOOKUP(O85,'[8]2012 личен състав ОТД'!$A:$AO,12,FALSE))</f>
        <v>ХОН</v>
      </c>
      <c r="R85" t="str">
        <f>IF(A85=""," ",VLOOKUP(A85,'Профилиращ лист'!A:B,2,FALSE))</f>
        <v>СПЕ</v>
      </c>
      <c r="T85">
        <f t="shared" ca="1" si="27"/>
        <v>2013</v>
      </c>
    </row>
    <row r="86" spans="1:20" ht="15" x14ac:dyDescent="0.2">
      <c r="A86" s="30" t="s">
        <v>244</v>
      </c>
      <c r="B86" s="31">
        <v>30</v>
      </c>
      <c r="C86" s="27">
        <v>30</v>
      </c>
      <c r="D86" s="27">
        <v>15</v>
      </c>
      <c r="E86" s="27">
        <v>15</v>
      </c>
      <c r="F86" s="27">
        <f t="shared" si="36"/>
        <v>0</v>
      </c>
      <c r="G86" s="27">
        <f t="shared" si="37"/>
        <v>60</v>
      </c>
      <c r="H86" s="27">
        <f t="shared" si="38"/>
        <v>90</v>
      </c>
      <c r="I86" s="27">
        <v>3</v>
      </c>
      <c r="J86" s="29" t="s">
        <v>12</v>
      </c>
      <c r="K86" s="75">
        <f t="shared" si="28"/>
        <v>30</v>
      </c>
      <c r="L86" s="76">
        <f t="shared" si="29"/>
        <v>15</v>
      </c>
      <c r="M86" s="76">
        <f t="shared" si="30"/>
        <v>15</v>
      </c>
      <c r="N86" t="str">
        <f>IF(O86=""," ",VLOOKUP(O86,'[8]2012 личен състав ОТД'!$A:$AO,2,FALSE))</f>
        <v>гл. ас. д-р Даниела Янева</v>
      </c>
      <c r="O86" t="s">
        <v>527</v>
      </c>
      <c r="P86">
        <f>IF(O86=""," ",VLOOKUP(O86,'[8]2012 личен състав ОТД'!$A:$AO,13,FALSE))</f>
        <v>0</v>
      </c>
      <c r="Q86" t="str">
        <f>IF(O86=""," ",VLOOKUP(O86,'[8]2012 личен състав ОТД'!$A:$AO,12,FALSE))</f>
        <v>ХОН</v>
      </c>
      <c r="R86" t="str">
        <f>IF(A86=""," ",VLOOKUP(A86,'Профилиращ лист'!A:B,2,FALSE))</f>
        <v>СПЕ</v>
      </c>
      <c r="T86">
        <f t="shared" ca="1" si="27"/>
        <v>2013</v>
      </c>
    </row>
    <row r="87" spans="1:20" ht="15" x14ac:dyDescent="0.2">
      <c r="A87" s="30" t="s">
        <v>62</v>
      </c>
      <c r="B87" s="31">
        <v>30</v>
      </c>
      <c r="C87" s="27">
        <v>45</v>
      </c>
      <c r="D87" s="27">
        <v>30</v>
      </c>
      <c r="E87" s="27">
        <v>15</v>
      </c>
      <c r="F87" s="27">
        <f t="shared" si="36"/>
        <v>0</v>
      </c>
      <c r="G87" s="27">
        <f t="shared" si="37"/>
        <v>45</v>
      </c>
      <c r="H87" s="27">
        <f t="shared" si="38"/>
        <v>90</v>
      </c>
      <c r="I87" s="27">
        <v>3</v>
      </c>
      <c r="J87" s="29" t="s">
        <v>12</v>
      </c>
      <c r="K87" s="75">
        <f t="shared" si="28"/>
        <v>90</v>
      </c>
      <c r="L87" s="76">
        <f t="shared" si="29"/>
        <v>75</v>
      </c>
      <c r="M87" s="76">
        <f t="shared" si="30"/>
        <v>15</v>
      </c>
      <c r="N87" t="str">
        <f>IF(O87=""," ",VLOOKUP(O87,'[8]2012 личен състав ОТД'!$A:$AO,2,FALSE))</f>
        <v>проф. дфн Любка Липчева-Пранджева</v>
      </c>
      <c r="O87" t="s">
        <v>495</v>
      </c>
      <c r="P87">
        <f>IF(O87=""," ",VLOOKUP(O87,'[8]2012 личен състав ОТД'!$A:$AO,13,FALSE))</f>
        <v>1961</v>
      </c>
      <c r="Q87" t="str">
        <f>IF(O87=""," ",VLOOKUP(O87,'[8]2012 личен състав ОТД'!$A:$AO,12,FALSE))</f>
        <v>ОТД</v>
      </c>
      <c r="R87" t="str">
        <f>IF(A87=""," ",VLOOKUP(A87,'Профилиращ лист'!A:B,2,FALSE))</f>
        <v>СПЕ</v>
      </c>
      <c r="T87">
        <f t="shared" ca="1" si="27"/>
        <v>52</v>
      </c>
    </row>
    <row r="88" spans="1:20" ht="15" hidden="1" x14ac:dyDescent="0.2">
      <c r="A88" s="30" t="s">
        <v>228</v>
      </c>
      <c r="B88" s="31">
        <v>90</v>
      </c>
      <c r="C88" s="27">
        <v>75</v>
      </c>
      <c r="D88" s="27">
        <v>0</v>
      </c>
      <c r="E88" s="27">
        <v>0</v>
      </c>
      <c r="F88" s="27">
        <f t="shared" si="36"/>
        <v>75</v>
      </c>
      <c r="G88" s="27">
        <f t="shared" si="37"/>
        <v>135</v>
      </c>
      <c r="H88" s="27">
        <f t="shared" si="38"/>
        <v>210</v>
      </c>
      <c r="I88" s="27">
        <v>7</v>
      </c>
      <c r="J88" s="29" t="s">
        <v>12</v>
      </c>
      <c r="K88" s="75">
        <f t="shared" si="28"/>
        <v>630</v>
      </c>
      <c r="L88" s="76">
        <f t="shared" si="29"/>
        <v>0</v>
      </c>
      <c r="M88" s="76">
        <f t="shared" si="30"/>
        <v>630</v>
      </c>
      <c r="N88" t="e">
        <f>IF(O88=""," ",VLOOKUP(O88,'[8]2012 личен състав ОТД'!$A:$AO,2,FALSE))</f>
        <v>#N/A</v>
      </c>
      <c r="O88" t="e">
        <f>IF(A88=""," ",VLOOKUP(A88,'Български и испански език'!A:O,15,FALSE))</f>
        <v>#N/A</v>
      </c>
      <c r="P88" t="e">
        <f>IF(O88=""," ",VLOOKUP(O88,'[8]2012 личен състав ОТД'!$A:$AO,13,FALSE))</f>
        <v>#N/A</v>
      </c>
      <c r="Q88" t="e">
        <f>IF(O88=""," ",VLOOKUP(O88,'[8]2012 личен състав ОТД'!$A:$AO,12,FALSE))</f>
        <v>#N/A</v>
      </c>
      <c r="R88" t="e">
        <f>IF(A88=""," ",VLOOKUP(A88,'Профилиращ лист'!A:B,2,FALSE))</f>
        <v>#N/A</v>
      </c>
      <c r="T88" t="e">
        <f t="shared" ca="1" si="27"/>
        <v>#N/A</v>
      </c>
    </row>
    <row r="89" spans="1:20" ht="15" hidden="1" x14ac:dyDescent="0.2">
      <c r="A89" s="30" t="s">
        <v>245</v>
      </c>
      <c r="B89" s="31">
        <v>30</v>
      </c>
      <c r="C89" s="27">
        <v>30</v>
      </c>
      <c r="D89" s="27">
        <v>0</v>
      </c>
      <c r="E89" s="27">
        <v>0</v>
      </c>
      <c r="F89" s="27">
        <f t="shared" si="36"/>
        <v>30</v>
      </c>
      <c r="G89" s="27">
        <f t="shared" si="37"/>
        <v>60</v>
      </c>
      <c r="H89" s="27">
        <f t="shared" si="38"/>
        <v>90</v>
      </c>
      <c r="I89" s="27">
        <v>3</v>
      </c>
      <c r="J89" s="29" t="s">
        <v>12</v>
      </c>
      <c r="K89" s="75">
        <f t="shared" si="28"/>
        <v>30</v>
      </c>
      <c r="L89" s="76">
        <f t="shared" si="29"/>
        <v>0</v>
      </c>
      <c r="M89" s="76">
        <f t="shared" si="30"/>
        <v>30</v>
      </c>
      <c r="N89" t="e">
        <f>IF(O89=""," ",VLOOKUP(O89,'[8]2012 личен състав ОТД'!$A:$AO,2,FALSE))</f>
        <v>#N/A</v>
      </c>
      <c r="O89" t="e">
        <f>IF(A89=""," ",VLOOKUP(A89,'Български и испански език'!A:O,15,FALSE))</f>
        <v>#N/A</v>
      </c>
      <c r="P89" t="e">
        <f>IF(O89=""," ",VLOOKUP(O89,'[8]2012 личен състав ОТД'!$A:$AO,13,FALSE))</f>
        <v>#N/A</v>
      </c>
      <c r="Q89" t="e">
        <f>IF(O89=""," ",VLOOKUP(O89,'[8]2012 личен състав ОТД'!$A:$AO,12,FALSE))</f>
        <v>#N/A</v>
      </c>
      <c r="R89" t="e">
        <f>IF(A89=""," ",VLOOKUP(A89,'Профилиращ лист'!A:B,2,FALSE))</f>
        <v>#N/A</v>
      </c>
      <c r="T89" t="e">
        <f t="shared" ca="1" si="27"/>
        <v>#N/A</v>
      </c>
    </row>
    <row r="90" spans="1:20" ht="15" hidden="1" x14ac:dyDescent="0.2">
      <c r="A90" s="30" t="s">
        <v>71</v>
      </c>
      <c r="B90" s="31">
        <v>45</v>
      </c>
      <c r="C90" s="27">
        <v>45</v>
      </c>
      <c r="D90" s="27">
        <v>0</v>
      </c>
      <c r="E90" s="27">
        <v>0</v>
      </c>
      <c r="F90" s="27">
        <f t="shared" si="36"/>
        <v>45</v>
      </c>
      <c r="G90" s="27">
        <f t="shared" si="37"/>
        <v>75</v>
      </c>
      <c r="H90" s="27">
        <f t="shared" si="38"/>
        <v>120</v>
      </c>
      <c r="I90" s="27">
        <v>4</v>
      </c>
      <c r="J90" s="29" t="s">
        <v>12</v>
      </c>
      <c r="K90" s="75">
        <f t="shared" si="28"/>
        <v>45</v>
      </c>
      <c r="L90" s="76">
        <f t="shared" si="29"/>
        <v>0</v>
      </c>
      <c r="M90" s="76">
        <f t="shared" si="30"/>
        <v>45</v>
      </c>
      <c r="N90" t="str">
        <f>IF(O90=""," ",VLOOKUP(O90,'[8]2012 личен състав ОТД'!$A:$AO,2,FALSE))</f>
        <v xml:space="preserve">   </v>
      </c>
      <c r="O90">
        <f>IF(A90=""," ",VLOOKUP(A90,'Български и испански език'!A:O,15,FALSE))</f>
        <v>0</v>
      </c>
      <c r="P90">
        <f>IF(O90=""," ",VLOOKUP(O90,'[8]2012 личен състав ОТД'!$A:$AO,13,FALSE))</f>
        <v>0</v>
      </c>
      <c r="Q90">
        <f>IF(O90=""," ",VLOOKUP(O90,'[8]2012 личен състав ОТД'!$A:$AO,12,FALSE))</f>
        <v>0</v>
      </c>
      <c r="R90" t="str">
        <f>IF(A90=""," ",VLOOKUP(A90,'Профилиращ лист'!A:B,2,FALSE))</f>
        <v>ПЕД</v>
      </c>
      <c r="T90">
        <f t="shared" ca="1" si="27"/>
        <v>2013</v>
      </c>
    </row>
    <row r="91" spans="1:20" ht="15" hidden="1" x14ac:dyDescent="0.2">
      <c r="A91" s="30" t="s">
        <v>72</v>
      </c>
      <c r="B91" s="31">
        <v>30</v>
      </c>
      <c r="C91" s="27">
        <v>30</v>
      </c>
      <c r="D91" s="27">
        <v>0</v>
      </c>
      <c r="E91" s="27">
        <v>0</v>
      </c>
      <c r="F91" s="27">
        <f t="shared" si="36"/>
        <v>30</v>
      </c>
      <c r="G91" s="27">
        <f t="shared" si="37"/>
        <v>30</v>
      </c>
      <c r="H91" s="27">
        <f t="shared" si="38"/>
        <v>60</v>
      </c>
      <c r="I91" s="27">
        <v>2</v>
      </c>
      <c r="J91" s="29" t="s">
        <v>18</v>
      </c>
      <c r="K91" s="75">
        <f t="shared" si="28"/>
        <v>30</v>
      </c>
      <c r="L91" s="76">
        <f t="shared" si="29"/>
        <v>0</v>
      </c>
      <c r="M91" s="76">
        <f t="shared" si="30"/>
        <v>30</v>
      </c>
      <c r="N91" t="str">
        <f>IF(O91=""," ",VLOOKUP(O91,'[8]2012 личен състав ОТД'!$A:$AO,2,FALSE))</f>
        <v xml:space="preserve">   </v>
      </c>
      <c r="O91">
        <f>IF(A91=""," ",VLOOKUP(A91,'Български и испански език'!A:O,15,FALSE))</f>
        <v>0</v>
      </c>
      <c r="P91">
        <f>IF(O91=""," ",VLOOKUP(O91,'[8]2012 личен състав ОТД'!$A:$AO,13,FALSE))</f>
        <v>0</v>
      </c>
      <c r="Q91">
        <f>IF(O91=""," ",VLOOKUP(O91,'[8]2012 личен състав ОТД'!$A:$AO,12,FALSE))</f>
        <v>0</v>
      </c>
      <c r="R91" t="str">
        <f>IF(A91=""," ",VLOOKUP(A91,'Профилиращ лист'!A:B,2,FALSE))</f>
        <v>ФД</v>
      </c>
      <c r="T91">
        <f t="shared" ca="1" si="27"/>
        <v>2013</v>
      </c>
    </row>
    <row r="92" spans="1:20" ht="15" x14ac:dyDescent="0.2">
      <c r="A92" s="30" t="s">
        <v>246</v>
      </c>
      <c r="B92" s="31">
        <v>30</v>
      </c>
      <c r="C92" s="27">
        <v>30</v>
      </c>
      <c r="D92" s="27">
        <v>15</v>
      </c>
      <c r="E92" s="27">
        <v>15</v>
      </c>
      <c r="F92" s="27">
        <f t="shared" si="36"/>
        <v>0</v>
      </c>
      <c r="G92" s="27">
        <f t="shared" si="37"/>
        <v>30</v>
      </c>
      <c r="H92" s="27">
        <f t="shared" si="38"/>
        <v>60</v>
      </c>
      <c r="I92" s="27">
        <v>2</v>
      </c>
      <c r="J92" s="29" t="s">
        <v>12</v>
      </c>
      <c r="K92" s="75">
        <f t="shared" si="28"/>
        <v>30</v>
      </c>
      <c r="L92" s="76">
        <f t="shared" si="29"/>
        <v>15</v>
      </c>
      <c r="M92" s="76">
        <f t="shared" si="30"/>
        <v>15</v>
      </c>
      <c r="N92" t="str">
        <f>IF(O92=""," ",VLOOKUP(O92,'[8]2012 личен състав ОТД'!$A:$AO,2,FALSE))</f>
        <v>гл. ас. д-р Наталия Христова</v>
      </c>
      <c r="O92" t="s">
        <v>525</v>
      </c>
      <c r="P92">
        <f>IF(O92=""," ",VLOOKUP(O92,'[8]2012 личен състав ОТД'!$A:$AO,13,FALSE))</f>
        <v>1975</v>
      </c>
      <c r="Q92" t="str">
        <f>IF(O92=""," ",VLOOKUP(O92,'[8]2012 личен състав ОТД'!$A:$AO,12,FALSE))</f>
        <v>ОТД</v>
      </c>
      <c r="R92" t="str">
        <f>IF(A92=""," ",VLOOKUP(A92,'Профилиращ лист'!A:B,2,FALSE))</f>
        <v>СПЕ</v>
      </c>
      <c r="T92">
        <f t="shared" ca="1" si="27"/>
        <v>38</v>
      </c>
    </row>
    <row r="93" spans="1:20" ht="15" x14ac:dyDescent="0.2">
      <c r="A93" s="30" t="s">
        <v>74</v>
      </c>
      <c r="B93" s="31">
        <v>30</v>
      </c>
      <c r="C93" s="27">
        <v>45</v>
      </c>
      <c r="D93" s="27">
        <v>30</v>
      </c>
      <c r="E93" s="27">
        <v>15</v>
      </c>
      <c r="F93" s="27">
        <f t="shared" si="36"/>
        <v>0</v>
      </c>
      <c r="G93" s="27">
        <f t="shared" si="37"/>
        <v>45</v>
      </c>
      <c r="H93" s="27">
        <f t="shared" si="38"/>
        <v>90</v>
      </c>
      <c r="I93" s="27">
        <v>3</v>
      </c>
      <c r="J93" s="29" t="s">
        <v>12</v>
      </c>
      <c r="K93" s="75">
        <f t="shared" si="28"/>
        <v>45</v>
      </c>
      <c r="L93" s="76">
        <f t="shared" si="29"/>
        <v>30</v>
      </c>
      <c r="M93" s="76">
        <f t="shared" si="30"/>
        <v>15</v>
      </c>
      <c r="N93" t="str">
        <f>IF(O93=""," ",VLOOKUP(O93,'[8]2012 личен състав ОТД'!$A:$AO,2,FALSE))</f>
        <v>доц. дфн Вера Маровска</v>
      </c>
      <c r="O93" t="str">
        <f>IF(A93=""," ",VLOOKUP(A93,'Български и испански език'!A:O,15,FALSE))</f>
        <v>маровска</v>
      </c>
      <c r="P93">
        <f>IF(O93=""," ",VLOOKUP(O93,'[8]2012 личен състав ОТД'!$A:$AO,13,FALSE))</f>
        <v>1954</v>
      </c>
      <c r="Q93" t="str">
        <f>IF(O93=""," ",VLOOKUP(O93,'[8]2012 личен състав ОТД'!$A:$AO,12,FALSE))</f>
        <v>ОТД</v>
      </c>
      <c r="R93" t="str">
        <f>IF(A93=""," ",VLOOKUP(A93,'Профилиращ лист'!A:B,2,FALSE))</f>
        <v>СПЕ</v>
      </c>
      <c r="T93">
        <f t="shared" ca="1" si="27"/>
        <v>59</v>
      </c>
    </row>
    <row r="94" spans="1:20" ht="15" hidden="1" x14ac:dyDescent="0.2">
      <c r="A94" s="30"/>
      <c r="B94" s="33">
        <f t="shared" ref="B94:I94" si="39">SUM(B85:B93)</f>
        <v>345</v>
      </c>
      <c r="C94" s="33">
        <f t="shared" si="39"/>
        <v>345</v>
      </c>
      <c r="D94" s="33">
        <f t="shared" si="39"/>
        <v>105</v>
      </c>
      <c r="E94" s="33">
        <f t="shared" si="39"/>
        <v>60</v>
      </c>
      <c r="F94" s="33">
        <f t="shared" si="39"/>
        <v>180</v>
      </c>
      <c r="G94" s="33">
        <f t="shared" si="39"/>
        <v>555</v>
      </c>
      <c r="H94" s="33">
        <f t="shared" si="39"/>
        <v>900</v>
      </c>
      <c r="I94" s="33">
        <f t="shared" si="39"/>
        <v>30</v>
      </c>
      <c r="J94" s="29"/>
      <c r="K94" s="75">
        <f t="shared" ref="K94" si="40">SUMIF(A:A,A93,C:C)</f>
        <v>45</v>
      </c>
      <c r="L94" s="76">
        <f t="shared" ref="L94" si="41">SUMIF(A:A,A93,D:D)</f>
        <v>30</v>
      </c>
      <c r="M94" s="76">
        <f t="shared" ref="M94" si="42">SUMIF(A:A,A93,E:E)+SUMIF(A:A,A93,F:F)</f>
        <v>15</v>
      </c>
      <c r="N94" t="str">
        <f>IF(O94=""," ",VLOOKUP(O94,'[8]2012 личен състав ОТД'!$A:$AO,2,FALSE))</f>
        <v xml:space="preserve"> </v>
      </c>
      <c r="P94" t="str">
        <f>IF(O94=""," ",VLOOKUP(O94,'[8]2012 личен състав ОТД'!$A:$AO,13,FALSE))</f>
        <v xml:space="preserve"> </v>
      </c>
      <c r="Q94" t="str">
        <f>IF(O94=""," ",VLOOKUP(O94,'[8]2012 личен състав ОТД'!$A:$AO,12,FALSE))</f>
        <v xml:space="preserve"> </v>
      </c>
      <c r="T94" t="e">
        <f t="shared" ca="1" si="27"/>
        <v>#VALUE!</v>
      </c>
    </row>
    <row r="95" spans="1:20" ht="15" hidden="1" x14ac:dyDescent="0.2">
      <c r="A95" s="25" t="s">
        <v>75</v>
      </c>
      <c r="B95" s="26"/>
      <c r="C95" s="27"/>
      <c r="D95" s="27"/>
      <c r="E95" s="27"/>
      <c r="F95" s="27"/>
      <c r="G95" s="27"/>
      <c r="H95" s="27"/>
      <c r="I95" s="28"/>
      <c r="J95" s="29"/>
      <c r="N95" t="str">
        <f>IF(O95=""," ",VLOOKUP(O95,'[8]2012 личен състав ОТД'!$A:$AO,2,FALSE))</f>
        <v xml:space="preserve"> </v>
      </c>
      <c r="P95" t="str">
        <f>IF(O95=""," ",VLOOKUP(O95,'[8]2012 личен състав ОТД'!$A:$AO,13,FALSE))</f>
        <v xml:space="preserve"> </v>
      </c>
      <c r="Q95" t="str">
        <f>IF(O95=""," ",VLOOKUP(O95,'[8]2012 личен състав ОТД'!$A:$AO,12,FALSE))</f>
        <v xml:space="preserve"> </v>
      </c>
      <c r="T95" t="e">
        <f t="shared" ca="1" si="27"/>
        <v>#VALUE!</v>
      </c>
    </row>
    <row r="96" spans="1:20" ht="15" hidden="1" x14ac:dyDescent="0.2">
      <c r="A96" s="30" t="s">
        <v>247</v>
      </c>
      <c r="B96" s="31"/>
      <c r="C96" s="27"/>
      <c r="D96" s="27"/>
      <c r="E96" s="27"/>
      <c r="F96" s="27"/>
      <c r="G96" s="27"/>
      <c r="H96" s="27"/>
      <c r="I96" s="27">
        <v>2</v>
      </c>
      <c r="J96" s="29" t="s">
        <v>12</v>
      </c>
      <c r="N96" t="str">
        <f>IF(O96=""," ",VLOOKUP(O96,'[8]2012 личен състав ОТД'!$A:$AO,2,FALSE))</f>
        <v xml:space="preserve"> </v>
      </c>
      <c r="P96" t="str">
        <f>IF(O96=""," ",VLOOKUP(O96,'[8]2012 личен състав ОТД'!$A:$AO,13,FALSE))</f>
        <v xml:space="preserve"> </v>
      </c>
      <c r="Q96" t="str">
        <f>IF(O96=""," ",VLOOKUP(O96,'[8]2012 личен състав ОТД'!$A:$AO,12,FALSE))</f>
        <v xml:space="preserve"> </v>
      </c>
    </row>
    <row r="97" spans="1:18" ht="15" hidden="1" x14ac:dyDescent="0.2">
      <c r="A97" s="30" t="s">
        <v>77</v>
      </c>
      <c r="B97" s="31"/>
      <c r="C97" s="27"/>
      <c r="D97" s="27"/>
      <c r="E97" s="27"/>
      <c r="F97" s="27"/>
      <c r="G97" s="27"/>
      <c r="H97" s="27"/>
      <c r="I97" s="27">
        <v>2</v>
      </c>
      <c r="J97" s="29" t="s">
        <v>12</v>
      </c>
      <c r="N97" t="str">
        <f>IF(O97=""," ",VLOOKUP(O97,'[8]2012 личен състав ОТД'!$A:$AO,2,FALSE))</f>
        <v xml:space="preserve"> </v>
      </c>
      <c r="P97" t="str">
        <f>IF(O97=""," ",VLOOKUP(O97,'[8]2012 личен състав ОТД'!$A:$AO,13,FALSE))</f>
        <v xml:space="preserve"> </v>
      </c>
      <c r="Q97" t="str">
        <f>IF(O97=""," ",VLOOKUP(O97,'[8]2012 личен състав ОТД'!$A:$AO,12,FALSE))</f>
        <v xml:space="preserve"> </v>
      </c>
    </row>
    <row r="98" spans="1:18" ht="15" hidden="1" x14ac:dyDescent="0.2">
      <c r="A98" s="30" t="s">
        <v>248</v>
      </c>
      <c r="B98" s="31"/>
      <c r="C98" s="27"/>
      <c r="D98" s="27"/>
      <c r="E98" s="27"/>
      <c r="F98" s="27"/>
      <c r="G98" s="27"/>
      <c r="H98" s="27"/>
      <c r="I98" s="27">
        <v>3</v>
      </c>
      <c r="J98" s="29" t="s">
        <v>12</v>
      </c>
      <c r="N98" t="str">
        <f>IF(O98=""," ",VLOOKUP(O98,'[8]2012 личен състав ОТД'!$A:$AO,2,FALSE))</f>
        <v xml:space="preserve"> </v>
      </c>
      <c r="P98" t="str">
        <f>IF(O98=""," ",VLOOKUP(O98,'[8]2012 личен състав ОТД'!$A:$AO,13,FALSE))</f>
        <v xml:space="preserve"> </v>
      </c>
      <c r="Q98" t="str">
        <f>IF(O98=""," ",VLOOKUP(O98,'[8]2012 личен състав ОТД'!$A:$AO,12,FALSE))</f>
        <v xml:space="preserve"> </v>
      </c>
    </row>
    <row r="99" spans="1:18" ht="15" hidden="1" x14ac:dyDescent="0.2">
      <c r="A99" s="30" t="s">
        <v>79</v>
      </c>
      <c r="B99" s="31"/>
      <c r="C99" s="27"/>
      <c r="D99" s="27"/>
      <c r="E99" s="27"/>
      <c r="F99" s="27"/>
      <c r="G99" s="27"/>
      <c r="H99" s="27"/>
      <c r="I99" s="27">
        <v>3</v>
      </c>
      <c r="J99" s="29" t="s">
        <v>12</v>
      </c>
      <c r="N99" t="str">
        <f>IF(O99=""," ",VLOOKUP(O99,'[8]2012 личен състав ОТД'!$A:$AO,2,FALSE))</f>
        <v xml:space="preserve"> </v>
      </c>
      <c r="P99" t="str">
        <f>IF(O99=""," ",VLOOKUP(O99,'[8]2012 личен състав ОТД'!$A:$AO,13,FALSE))</f>
        <v xml:space="preserve"> </v>
      </c>
      <c r="Q99" t="str">
        <f>IF(O99=""," ",VLOOKUP(O99,'[8]2012 личен състав ОТД'!$A:$AO,12,FALSE))</f>
        <v xml:space="preserve"> </v>
      </c>
    </row>
    <row r="100" spans="1:18" ht="15" hidden="1" x14ac:dyDescent="0.25">
      <c r="A100" s="30"/>
      <c r="B100" s="31"/>
      <c r="C100" s="27"/>
      <c r="D100" s="27"/>
      <c r="E100" s="27"/>
      <c r="F100" s="27"/>
      <c r="G100" s="27"/>
      <c r="H100" s="27"/>
      <c r="I100" s="38">
        <f>SUM(I96:I99)</f>
        <v>10</v>
      </c>
      <c r="J100" s="36"/>
      <c r="N100" t="str">
        <f>IF(O100=""," ",VLOOKUP(O100,'[8]2012 личен състав ОТД'!$A:$AO,2,FALSE))</f>
        <v xml:space="preserve"> </v>
      </c>
      <c r="P100" t="str">
        <f>IF(O100=""," ",VLOOKUP(O100,'[8]2012 личен състав ОТД'!$A:$AO,13,FALSE))</f>
        <v xml:space="preserve"> </v>
      </c>
      <c r="Q100" t="str">
        <f>IF(O100=""," ",VLOOKUP(O100,'[8]2012 личен състав ОТД'!$A:$AO,12,FALSE))</f>
        <v xml:space="preserve"> </v>
      </c>
    </row>
    <row r="101" spans="1:18" ht="21.75" hidden="1" thickBot="1" x14ac:dyDescent="0.3">
      <c r="A101" s="39" t="s">
        <v>80</v>
      </c>
      <c r="B101" s="40">
        <f t="shared" ref="B101:H101" si="43">B94+B83+B70+B58+B45+B34+B22+B11</f>
        <v>2790</v>
      </c>
      <c r="C101" s="41">
        <f t="shared" si="43"/>
        <v>2985</v>
      </c>
      <c r="D101" s="41">
        <f t="shared" si="43"/>
        <v>1290</v>
      </c>
      <c r="E101" s="41">
        <f t="shared" si="43"/>
        <v>600</v>
      </c>
      <c r="F101" s="41">
        <f t="shared" si="43"/>
        <v>1095</v>
      </c>
      <c r="G101" s="41">
        <f t="shared" si="43"/>
        <v>4335</v>
      </c>
      <c r="H101" s="41">
        <f t="shared" si="43"/>
        <v>7320</v>
      </c>
      <c r="I101" s="42">
        <f>I94+I83+I70+I58+I45+I34+I22+I11+I100</f>
        <v>254</v>
      </c>
      <c r="J101" s="43"/>
      <c r="N101" t="str">
        <f>IF(O101=""," ",VLOOKUP(O101,'[8]2012 личен състав ОТД'!$A:$AO,2,FALSE))</f>
        <v xml:space="preserve"> </v>
      </c>
      <c r="P101" t="str">
        <f>IF(O101=""," ",VLOOKUP(O101,'[8]2012 личен състав ОТД'!$A:$AO,13,FALSE))</f>
        <v xml:space="preserve"> </v>
      </c>
      <c r="Q101" t="str">
        <f>IF(O101=""," ",VLOOKUP(O101,'[8]2012 личен състав ОТД'!$A:$AO,12,FALSE))</f>
        <v xml:space="preserve"> </v>
      </c>
    </row>
    <row r="102" spans="1:18" ht="15" hidden="1" x14ac:dyDescent="0.25">
      <c r="A102" s="44"/>
      <c r="B102" s="44"/>
      <c r="C102" s="45">
        <f t="shared" ref="C102:I102" si="44">C101/120</f>
        <v>24.875</v>
      </c>
      <c r="D102" s="45">
        <f t="shared" si="44"/>
        <v>10.75</v>
      </c>
      <c r="E102" s="45">
        <f t="shared" si="44"/>
        <v>5</v>
      </c>
      <c r="F102" s="45">
        <f t="shared" si="44"/>
        <v>9.125</v>
      </c>
      <c r="G102" s="45">
        <f t="shared" si="44"/>
        <v>36.125</v>
      </c>
      <c r="H102" s="45">
        <f t="shared" si="44"/>
        <v>61</v>
      </c>
      <c r="I102" s="46">
        <f t="shared" si="44"/>
        <v>2.1166666666666667</v>
      </c>
      <c r="J102" s="47"/>
      <c r="K102" s="75">
        <f t="shared" ref="K102" si="45">SUMIF(A:A,A101,C:C)</f>
        <v>2985</v>
      </c>
      <c r="L102" s="76">
        <f t="shared" ref="L102" si="46">SUMIF(A:A,A101,D:D)</f>
        <v>1290</v>
      </c>
      <c r="M102" s="76">
        <f t="shared" ref="M102" si="47">SUMIF(A:A,A101,E:E)+SUMIF(A:A,A101,F:F)</f>
        <v>1695</v>
      </c>
      <c r="N102" t="str">
        <f>IF(O102=""," ",VLOOKUP(O102,'[8]2012 личен състав ОТД'!$A:$AO,2,FALSE))</f>
        <v xml:space="preserve"> </v>
      </c>
      <c r="P102" t="str">
        <f>IF(O102=""," ",VLOOKUP(O102,'[8]2012 личен състав ОТД'!$A:$AO,13,FALSE))</f>
        <v xml:space="preserve"> </v>
      </c>
      <c r="Q102" t="str">
        <f>IF(O102=""," ",VLOOKUP(O102,'[8]2012 личен състав ОТД'!$A:$AO,12,FALSE))</f>
        <v xml:space="preserve"> </v>
      </c>
    </row>
    <row r="103" spans="1:18" hidden="1" x14ac:dyDescent="0.2">
      <c r="N103" t="str">
        <f>IF(O103=""," ",VLOOKUP(O103,'[8]2012 личен състав ОТД'!$A:$AO,2,FALSE))</f>
        <v xml:space="preserve"> </v>
      </c>
      <c r="P103" t="str">
        <f>IF(O103=""," ",VLOOKUP(O103,'[8]2012 личен състав ОТД'!$A:$AO,13,FALSE))</f>
        <v xml:space="preserve"> </v>
      </c>
      <c r="Q103" t="str">
        <f>IF(O103=""," ",VLOOKUP(O103,'[8]2012 личен състав ОТД'!$A:$AO,12,FALSE))</f>
        <v xml:space="preserve"> </v>
      </c>
      <c r="R103" t="str">
        <f>IF(A102=""," ",VLOOKUP(A102,'Профилиращ лист'!A:B,2,FALSE))</f>
        <v xml:space="preserve"> </v>
      </c>
    </row>
    <row r="104" spans="1:18" hidden="1" x14ac:dyDescent="0.2">
      <c r="N104" t="str">
        <f>IF(O104=""," ",VLOOKUP(O104,'[8]2012 личен състав ОТД'!$A:$AO,2,FALSE))</f>
        <v xml:space="preserve"> </v>
      </c>
      <c r="P104" t="str">
        <f>IF(O104=""," ",VLOOKUP(O104,'[8]2012 личен състав ОТД'!$A:$AO,13,FALSE))</f>
        <v xml:space="preserve"> </v>
      </c>
      <c r="Q104" t="str">
        <f>IF(O104=""," ",VLOOKUP(O104,'[8]2012 личен състав ОТД'!$A:$AO,12,FALSE))</f>
        <v xml:space="preserve"> </v>
      </c>
      <c r="R104" t="str">
        <f>IF(A103=""," ",VLOOKUP(A103,'Профилиращ лист'!A:B,2,FALSE))</f>
        <v xml:space="preserve"> </v>
      </c>
    </row>
    <row r="105" spans="1:18" hidden="1" x14ac:dyDescent="0.2">
      <c r="N105" t="str">
        <f>IF(O105=""," ",VLOOKUP(O105,'[8]2012 личен състав ОТД'!$A:$AO,2,FALSE))</f>
        <v xml:space="preserve"> </v>
      </c>
      <c r="P105" t="str">
        <f>IF(O105=""," ",VLOOKUP(O105,'[8]2012 личен състав ОТД'!$A:$AO,13,FALSE))</f>
        <v xml:space="preserve"> </v>
      </c>
      <c r="Q105" t="str">
        <f>IF(O105=""," ",VLOOKUP(O105,'[8]2012 личен състав ОТД'!$A:$AO,12,FALSE))</f>
        <v xml:space="preserve"> </v>
      </c>
      <c r="R105" t="str">
        <f>IF(A104=""," ",VLOOKUP(A104,'Профилиращ лист'!A:B,2,FALSE))</f>
        <v xml:space="preserve"> </v>
      </c>
    </row>
    <row r="106" spans="1:18" hidden="1" x14ac:dyDescent="0.2">
      <c r="N106" t="str">
        <f>IF(O106=""," ",VLOOKUP(O106,'[8]2012 личен състав ОТД'!$A:$AO,2,FALSE))</f>
        <v xml:space="preserve"> </v>
      </c>
      <c r="P106" t="str">
        <f>IF(O106=""," ",VLOOKUP(O106,'[8]2012 личен състав ОТД'!$A:$AO,13,FALSE))</f>
        <v xml:space="preserve"> </v>
      </c>
      <c r="Q106" t="str">
        <f>IF(O106=""," ",VLOOKUP(O106,'[8]2012 личен състав ОТД'!$A:$AO,12,FALSE))</f>
        <v xml:space="preserve"> </v>
      </c>
      <c r="R106" t="str">
        <f>IF(A105=""," ",VLOOKUP(A105,'Профилиращ лист'!A:B,2,FALSE))</f>
        <v xml:space="preserve"> </v>
      </c>
    </row>
    <row r="107" spans="1:18" hidden="1" x14ac:dyDescent="0.2">
      <c r="N107" t="str">
        <f>IF(O107=""," ",VLOOKUP(O107,'[8]2012 личен състав ОТД'!$A:$AO,2,FALSE))</f>
        <v xml:space="preserve"> </v>
      </c>
      <c r="P107" t="str">
        <f>IF(O107=""," ",VLOOKUP(O107,'[8]2012 личен състав ОТД'!$A:$AO,13,FALSE))</f>
        <v xml:space="preserve"> </v>
      </c>
      <c r="Q107" t="str">
        <f>IF(O107=""," ",VLOOKUP(O107,'[8]2012 личен състав ОТД'!$A:$AO,12,FALSE))</f>
        <v xml:space="preserve"> </v>
      </c>
      <c r="R107" t="str">
        <f>IF(A106=""," ",VLOOKUP(A106,'Профилиращ лист'!A:B,2,FALSE))</f>
        <v xml:space="preserve"> </v>
      </c>
    </row>
    <row r="108" spans="1:18" hidden="1" x14ac:dyDescent="0.2">
      <c r="N108" t="str">
        <f>IF(O108=""," ",VLOOKUP(O108,'[8]2012 личен състав ОТД'!$A:$AO,2,FALSE))</f>
        <v xml:space="preserve"> </v>
      </c>
      <c r="P108" t="str">
        <f>IF(O108=""," ",VLOOKUP(O108,'[8]2012 личен състав ОТД'!$A:$AO,13,FALSE))</f>
        <v xml:space="preserve"> </v>
      </c>
      <c r="Q108" t="str">
        <f>IF(O108=""," ",VLOOKUP(O108,'[8]2012 личен състав ОТД'!$A:$AO,12,FALSE))</f>
        <v xml:space="preserve"> </v>
      </c>
      <c r="R108" t="str">
        <f>IF(A107=""," ",VLOOKUP(A107,'Профилиращ лист'!A:B,2,FALSE))</f>
        <v xml:space="preserve"> </v>
      </c>
    </row>
    <row r="109" spans="1:18" hidden="1" x14ac:dyDescent="0.2">
      <c r="N109" t="str">
        <f>IF(O109=""," ",VLOOKUP(O109,'[8]2012 личен състав ОТД'!$A:$AO,2,FALSE))</f>
        <v xml:space="preserve"> </v>
      </c>
      <c r="P109" t="str">
        <f>IF(O109=""," ",VLOOKUP(O109,'[8]2012 личен състав ОТД'!$A:$AO,13,FALSE))</f>
        <v xml:space="preserve"> </v>
      </c>
      <c r="Q109" t="str">
        <f>IF(O109=""," ",VLOOKUP(O109,'[8]2012 личен състав ОТД'!$A:$AO,12,FALSE))</f>
        <v xml:space="preserve"> </v>
      </c>
      <c r="R109" t="str">
        <f>IF(A108=""," ",VLOOKUP(A108,'Профилиращ лист'!A:B,2,FALSE))</f>
        <v xml:space="preserve"> </v>
      </c>
    </row>
  </sheetData>
  <autoFilter ref="A1:R109">
    <filterColumn colId="9">
      <filters>
        <filter val="1"/>
        <filter val="изпит"/>
        <filter val="т.о."/>
        <filter val="Ф"/>
      </filters>
    </filterColumn>
    <filterColumn colId="11">
      <filters>
        <filter val="1"/>
        <filter val="15"/>
        <filter val="30"/>
        <filter val="45"/>
        <filter val="60"/>
        <filter val="75"/>
      </filters>
    </filterColumn>
  </autoFilter>
  <pageMargins left="0.7" right="0.7" top="0.75" bottom="0.75" header="0.3" footer="0.3"/>
  <pageSetup paperSize="9" scale="65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14</vt:i4>
      </vt:variant>
      <vt:variant>
        <vt:lpstr>Наименувани диапазони</vt:lpstr>
      </vt:variant>
      <vt:variant>
        <vt:i4>12</vt:i4>
      </vt:variant>
    </vt:vector>
  </HeadingPairs>
  <TitlesOfParts>
    <vt:vector size="26" baseType="lpstr">
      <vt:lpstr>Профилиращ лист</vt:lpstr>
      <vt:lpstr>Съотношения</vt:lpstr>
      <vt:lpstr>Възрастова структура</vt:lpstr>
      <vt:lpstr>Лист2</vt:lpstr>
      <vt:lpstr>Български език и руски език</vt:lpstr>
      <vt:lpstr>Български и руски език (ЗО нов)</vt:lpstr>
      <vt:lpstr>Български и английски език</vt:lpstr>
      <vt:lpstr>Български език и новогръцки</vt:lpstr>
      <vt:lpstr>Български език и италиански</vt:lpstr>
      <vt:lpstr>Български език и история</vt:lpstr>
      <vt:lpstr>Български и история (ЗО нов)</vt:lpstr>
      <vt:lpstr>Български и испански език</vt:lpstr>
      <vt:lpstr>Български език и турски език</vt:lpstr>
      <vt:lpstr>Български език и китайски език</vt:lpstr>
      <vt:lpstr>Години</vt:lpstr>
      <vt:lpstr>'Български език и история'!Област_печат</vt:lpstr>
      <vt:lpstr>'Български език и китайски език'!Област_печат</vt:lpstr>
      <vt:lpstr>'Български език и новогръцки'!Област_печат</vt:lpstr>
      <vt:lpstr>'Български език и руски език'!Област_печат</vt:lpstr>
      <vt:lpstr>'Български език и турски език'!Област_печат</vt:lpstr>
      <vt:lpstr>'Български и английски език'!Област_печат</vt:lpstr>
      <vt:lpstr>'Български и испански език'!Област_печат</vt:lpstr>
      <vt:lpstr>'Български и история (ЗО нов)'!Област_печат</vt:lpstr>
      <vt:lpstr>'Български и руски език (ЗО нов)'!Област_печат</vt:lpstr>
      <vt:lpstr>'Възрастова структура'!Област_печат</vt:lpstr>
      <vt:lpstr>Лист2!Област_печат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FDean</dc:creator>
  <cp:lastModifiedBy>FDean</cp:lastModifiedBy>
  <cp:lastPrinted>2013-01-27T21:50:37Z</cp:lastPrinted>
  <dcterms:created xsi:type="dcterms:W3CDTF">2013-01-26T16:49:20Z</dcterms:created>
  <dcterms:modified xsi:type="dcterms:W3CDTF">2013-02-01T21:11:00Z</dcterms:modified>
</cp:coreProperties>
</file>